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a\Downloads\"/>
    </mc:Choice>
  </mc:AlternateContent>
  <xr:revisionPtr revIDLastSave="0" documentId="8_{C6943A7A-4DD1-47D2-8751-46978E573E0B}" xr6:coauthVersionLast="47" xr6:coauthVersionMax="47" xr10:uidLastSave="{00000000-0000-0000-0000-000000000000}"/>
  <bookViews>
    <workbookView xWindow="-98" yWindow="-98" windowWidth="21795" windowHeight="13875" xr2:uid="{A357B58F-33B9-4EEC-96C9-1EDBC054E665}"/>
  </bookViews>
  <sheets>
    <sheet name="Explanation" sheetId="12" r:id="rId1"/>
    <sheet name="Quantity planning" sheetId="7" r:id="rId2"/>
    <sheet name="Sheet1" sheetId="13" state="hidden" r:id="rId3"/>
    <sheet name="4" sheetId="4" state="hidden" r:id="rId4"/>
    <sheet name="5" sheetId="3" state="hidden" r:id="rId5"/>
    <sheet name="6" sheetId="2" state="hidden" r:id="rId6"/>
    <sheet name="7" sheetId="1" state="hidden" r:id="rId7"/>
  </sheets>
  <definedNames>
    <definedName name="_xlnm.Print_Area" localSheetId="1">'Quantity planning'!$D$1:$S$64</definedName>
    <definedName name="Z_951C2A81_C448_4132_8DA0_FF6693023557_.wvu.PrintArea" localSheetId="1" hidden="1">'Quantity planning'!$D$2:$J$63,'Quantity planning'!$N$2:$S$38</definedName>
    <definedName name="Z_E5875E06_3B87_4763_A267_4E407281F662_.wvu.PrintArea" localSheetId="1" hidden="1">'Quantity planning'!$D$2:$J$63,'Quantity planning'!$N$2:$S$38</definedName>
  </definedNames>
  <calcPr calcId="191028"/>
  <customWorkbookViews>
    <customWorkbookView name="Hoch" guid="{E5875E06-3B87-4763-A267-4E407281F662}" maximized="1" xWindow="-8" yWindow="-8" windowWidth="1696" windowHeight="1036" activeSheetId="7"/>
    <customWorkbookView name="Quer" guid="{951C2A81-C448-4132-8DA0-FF6693023557}" maximized="1" xWindow="-8" yWindow="-8" windowWidth="1696" windowHeight="1036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3" l="1"/>
  <c r="H3" i="13"/>
  <c r="G3" i="13"/>
  <c r="I2" i="13"/>
  <c r="H2" i="13"/>
  <c r="G2" i="13"/>
  <c r="F2" i="13"/>
  <c r="I12" i="7" l="1"/>
  <c r="F12" i="7" l="1"/>
  <c r="G12" i="7" l="1"/>
  <c r="J12" i="7"/>
  <c r="H13" i="7" l="1"/>
  <c r="I13" i="7" s="1"/>
  <c r="F2" i="7"/>
  <c r="F12" i="4"/>
  <c r="F13" i="4"/>
  <c r="F14" i="4"/>
  <c r="F15" i="4"/>
  <c r="F11" i="4"/>
  <c r="E7" i="4"/>
  <c r="G7" i="4" s="1"/>
  <c r="C1" i="4"/>
  <c r="E36" i="3"/>
  <c r="F13" i="3"/>
  <c r="F14" i="3"/>
  <c r="F15" i="3"/>
  <c r="F16" i="3"/>
  <c r="F17" i="3"/>
  <c r="F12" i="3"/>
  <c r="E7" i="3"/>
  <c r="G7" i="3" s="1"/>
  <c r="H7" i="3" s="1"/>
  <c r="E8" i="3" s="1"/>
  <c r="C7" i="3"/>
  <c r="C1" i="3"/>
  <c r="G13" i="2"/>
  <c r="F13" i="2"/>
  <c r="E13" i="2"/>
  <c r="D13" i="2"/>
  <c r="E7" i="2"/>
  <c r="C7" i="2" s="1"/>
  <c r="C1" i="2"/>
  <c r="F13" i="7" l="1"/>
  <c r="C7" i="4"/>
  <c r="C8" i="3"/>
  <c r="G8" i="3"/>
  <c r="D7" i="3"/>
  <c r="D7" i="2"/>
  <c r="G7" i="2"/>
  <c r="H7" i="2" s="1"/>
  <c r="E8" i="2" s="1"/>
  <c r="E7" i="1"/>
  <c r="C1" i="1"/>
  <c r="G13" i="7" l="1"/>
  <c r="H14" i="7"/>
  <c r="D7" i="4"/>
  <c r="H7" i="4"/>
  <c r="E8" i="4" s="1"/>
  <c r="H8" i="3"/>
  <c r="E9" i="3" s="1"/>
  <c r="D8" i="3"/>
  <c r="C8" i="2"/>
  <c r="F14" i="2" s="1"/>
  <c r="G8" i="2"/>
  <c r="G7" i="1"/>
  <c r="C7" i="1"/>
  <c r="F14" i="1" s="1"/>
  <c r="J13" i="7" l="1"/>
  <c r="F14" i="7" s="1"/>
  <c r="G14" i="7" s="1"/>
  <c r="C8" i="4"/>
  <c r="G8" i="4"/>
  <c r="H8" i="4" s="1"/>
  <c r="E9" i="4" s="1"/>
  <c r="G9" i="3"/>
  <c r="C9" i="3"/>
  <c r="H8" i="2"/>
  <c r="E9" i="2" s="1"/>
  <c r="G9" i="2" s="1"/>
  <c r="D8" i="2"/>
  <c r="D7" i="1"/>
  <c r="H7" i="1"/>
  <c r="I14" i="7" l="1"/>
  <c r="H15" i="7"/>
  <c r="G9" i="4"/>
  <c r="C9" i="4"/>
  <c r="D8" i="4"/>
  <c r="D9" i="3"/>
  <c r="H9" i="3"/>
  <c r="E10" i="3" s="1"/>
  <c r="C9" i="2"/>
  <c r="F15" i="2" s="1"/>
  <c r="H9" i="2"/>
  <c r="E10" i="2" s="1"/>
  <c r="E8" i="1"/>
  <c r="G8" i="1" s="1"/>
  <c r="J14" i="7" l="1"/>
  <c r="F15" i="7" s="1"/>
  <c r="D9" i="4"/>
  <c r="H9" i="4"/>
  <c r="E10" i="4" s="1"/>
  <c r="C10" i="3"/>
  <c r="G10" i="3"/>
  <c r="H10" i="3" s="1"/>
  <c r="E11" i="3" s="1"/>
  <c r="D9" i="2"/>
  <c r="G10" i="2"/>
  <c r="C10" i="2"/>
  <c r="F16" i="2" s="1"/>
  <c r="C8" i="1"/>
  <c r="H8" i="1" s="1"/>
  <c r="E9" i="1" s="1"/>
  <c r="G9" i="1" s="1"/>
  <c r="I15" i="7" l="1"/>
  <c r="G15" i="7"/>
  <c r="H16" i="7"/>
  <c r="C10" i="4"/>
  <c r="G10" i="4"/>
  <c r="H10" i="4" s="1"/>
  <c r="E11" i="4" s="1"/>
  <c r="G11" i="3"/>
  <c r="C11" i="3"/>
  <c r="D10" i="3"/>
  <c r="D10" i="2"/>
  <c r="H10" i="2"/>
  <c r="E11" i="2" s="1"/>
  <c r="F15" i="1"/>
  <c r="D8" i="1"/>
  <c r="C9" i="1"/>
  <c r="H9" i="1" s="1"/>
  <c r="E10" i="1" s="1"/>
  <c r="G10" i="1" s="1"/>
  <c r="J15" i="7" l="1"/>
  <c r="F16" i="7" s="1"/>
  <c r="C11" i="4"/>
  <c r="G11" i="4"/>
  <c r="H11" i="4" s="1"/>
  <c r="E12" i="4" s="1"/>
  <c r="D10" i="4"/>
  <c r="D11" i="3"/>
  <c r="H11" i="3"/>
  <c r="E12" i="3" s="1"/>
  <c r="G11" i="2"/>
  <c r="C11" i="2"/>
  <c r="F17" i="2" s="1"/>
  <c r="F16" i="1"/>
  <c r="D9" i="1"/>
  <c r="C10" i="1"/>
  <c r="F17" i="1" s="1"/>
  <c r="H17" i="7" l="1"/>
  <c r="I16" i="7"/>
  <c r="D11" i="4"/>
  <c r="G12" i="4"/>
  <c r="C12" i="4"/>
  <c r="F16" i="4" s="1"/>
  <c r="C12" i="3"/>
  <c r="G12" i="3"/>
  <c r="H11" i="2"/>
  <c r="E12" i="2" s="1"/>
  <c r="C12" i="2" s="1"/>
  <c r="F18" i="2" s="1"/>
  <c r="D11" i="2"/>
  <c r="H10" i="1"/>
  <c r="E11" i="1" s="1"/>
  <c r="C11" i="1" s="1"/>
  <c r="D10" i="1"/>
  <c r="G16" i="7" l="1"/>
  <c r="H12" i="4"/>
  <c r="E13" i="4" s="1"/>
  <c r="G13" i="4" s="1"/>
  <c r="D12" i="4"/>
  <c r="H12" i="3"/>
  <c r="E13" i="3" s="1"/>
  <c r="D12" i="3"/>
  <c r="G12" i="2"/>
  <c r="D12" i="2"/>
  <c r="H12" i="2"/>
  <c r="G11" i="1"/>
  <c r="H11" i="1"/>
  <c r="E12" i="1" s="1"/>
  <c r="C12" i="1" s="1"/>
  <c r="D11" i="1"/>
  <c r="F18" i="1"/>
  <c r="J16" i="7" l="1"/>
  <c r="C13" i="4"/>
  <c r="C13" i="3"/>
  <c r="F18" i="3" s="1"/>
  <c r="G13" i="3"/>
  <c r="C13" i="2"/>
  <c r="F19" i="2" s="1"/>
  <c r="G12" i="1"/>
  <c r="H12" i="1" s="1"/>
  <c r="E13" i="1" s="1"/>
  <c r="C13" i="1" s="1"/>
  <c r="F19" i="1"/>
  <c r="D12" i="1"/>
  <c r="F17" i="7" l="1"/>
  <c r="I17" i="7"/>
  <c r="D13" i="4"/>
  <c r="F17" i="4"/>
  <c r="H13" i="4"/>
  <c r="E14" i="4" s="1"/>
  <c r="C14" i="4"/>
  <c r="F18" i="4" s="1"/>
  <c r="G14" i="4"/>
  <c r="H14" i="4" s="1"/>
  <c r="E15" i="4" s="1"/>
  <c r="H13" i="3"/>
  <c r="E14" i="3" s="1"/>
  <c r="D13" i="3"/>
  <c r="H13" i="2"/>
  <c r="E14" i="2" s="1"/>
  <c r="G13" i="1"/>
  <c r="H13" i="1" s="1"/>
  <c r="E14" i="1" s="1"/>
  <c r="D13" i="1"/>
  <c r="F20" i="1"/>
  <c r="H18" i="7" l="1"/>
  <c r="J17" i="7"/>
  <c r="G17" i="7"/>
  <c r="C15" i="4"/>
  <c r="F19" i="4" s="1"/>
  <c r="G15" i="4"/>
  <c r="H15" i="4" s="1"/>
  <c r="E16" i="4" s="1"/>
  <c r="D14" i="4"/>
  <c r="C14" i="3"/>
  <c r="F19" i="3" s="1"/>
  <c r="G14" i="3"/>
  <c r="G14" i="2"/>
  <c r="C14" i="2"/>
  <c r="F20" i="2" s="1"/>
  <c r="C14" i="1"/>
  <c r="D14" i="1" s="1"/>
  <c r="G14" i="1"/>
  <c r="F18" i="7" l="1"/>
  <c r="G18" i="7" s="1"/>
  <c r="I18" i="7"/>
  <c r="G16" i="4"/>
  <c r="C16" i="4"/>
  <c r="F20" i="4" s="1"/>
  <c r="D15" i="4"/>
  <c r="H14" i="3"/>
  <c r="E15" i="3" s="1"/>
  <c r="G15" i="3" s="1"/>
  <c r="D14" i="3"/>
  <c r="D14" i="2"/>
  <c r="H14" i="2"/>
  <c r="E15" i="2" s="1"/>
  <c r="H14" i="1"/>
  <c r="E15" i="1" s="1"/>
  <c r="C15" i="1" s="1"/>
  <c r="F21" i="1"/>
  <c r="H19" i="7" l="1"/>
  <c r="J18" i="7"/>
  <c r="D16" i="4"/>
  <c r="H16" i="4"/>
  <c r="E17" i="4" s="1"/>
  <c r="C15" i="3"/>
  <c r="G15" i="2"/>
  <c r="C15" i="2"/>
  <c r="F21" i="2" s="1"/>
  <c r="G15" i="1"/>
  <c r="H15" i="1" s="1"/>
  <c r="E16" i="1" s="1"/>
  <c r="F22" i="1"/>
  <c r="D15" i="1"/>
  <c r="F19" i="7" l="1"/>
  <c r="I19" i="7"/>
  <c r="G17" i="4"/>
  <c r="C17" i="4"/>
  <c r="F21" i="4" s="1"/>
  <c r="H15" i="3"/>
  <c r="E16" i="3" s="1"/>
  <c r="F20" i="3"/>
  <c r="D15" i="3"/>
  <c r="C16" i="3"/>
  <c r="F21" i="3" s="1"/>
  <c r="G16" i="3"/>
  <c r="D15" i="2"/>
  <c r="H15" i="2"/>
  <c r="E16" i="2" s="1"/>
  <c r="G16" i="1"/>
  <c r="C16" i="1"/>
  <c r="H20" i="7" l="1"/>
  <c r="G19" i="7"/>
  <c r="J19" i="7"/>
  <c r="D17" i="4"/>
  <c r="H17" i="4"/>
  <c r="E18" i="4" s="1"/>
  <c r="H16" i="3"/>
  <c r="E17" i="3" s="1"/>
  <c r="C17" i="3"/>
  <c r="F22" i="3" s="1"/>
  <c r="G17" i="3"/>
  <c r="H17" i="3" s="1"/>
  <c r="E18" i="3" s="1"/>
  <c r="D16" i="3"/>
  <c r="G16" i="2"/>
  <c r="C16" i="2"/>
  <c r="F22" i="2" s="1"/>
  <c r="H16" i="1"/>
  <c r="E17" i="1" s="1"/>
  <c r="C17" i="1" s="1"/>
  <c r="F23" i="1"/>
  <c r="D16" i="1"/>
  <c r="F20" i="7" l="1"/>
  <c r="I20" i="7"/>
  <c r="C18" i="4"/>
  <c r="F22" i="4" s="1"/>
  <c r="G18" i="4"/>
  <c r="H18" i="4" s="1"/>
  <c r="E19" i="4" s="1"/>
  <c r="G18" i="3"/>
  <c r="C18" i="3"/>
  <c r="F23" i="3" s="1"/>
  <c r="D17" i="3"/>
  <c r="D16" i="2"/>
  <c r="H16" i="2"/>
  <c r="E17" i="2" s="1"/>
  <c r="G17" i="1"/>
  <c r="H17" i="1" s="1"/>
  <c r="E18" i="1" s="1"/>
  <c r="F24" i="1"/>
  <c r="D17" i="1"/>
  <c r="H21" i="7" l="1"/>
  <c r="C19" i="4"/>
  <c r="F23" i="4" s="1"/>
  <c r="G19" i="4"/>
  <c r="H19" i="4" s="1"/>
  <c r="E20" i="4" s="1"/>
  <c r="D18" i="4"/>
  <c r="D18" i="3"/>
  <c r="H18" i="3"/>
  <c r="E19" i="3" s="1"/>
  <c r="C17" i="2"/>
  <c r="F23" i="2" s="1"/>
  <c r="G17" i="2"/>
  <c r="G18" i="1"/>
  <c r="C18" i="1"/>
  <c r="J20" i="7" l="1"/>
  <c r="F21" i="7" s="1"/>
  <c r="G20" i="7"/>
  <c r="G20" i="4"/>
  <c r="C20" i="4"/>
  <c r="F24" i="4" s="1"/>
  <c r="D19" i="4"/>
  <c r="G19" i="3"/>
  <c r="C19" i="3"/>
  <c r="F24" i="3" s="1"/>
  <c r="H17" i="2"/>
  <c r="E18" i="2" s="1"/>
  <c r="D17" i="2"/>
  <c r="H18" i="1"/>
  <c r="E19" i="1" s="1"/>
  <c r="G19" i="1" s="1"/>
  <c r="D18" i="1"/>
  <c r="F25" i="1"/>
  <c r="H22" i="7" l="1"/>
  <c r="I21" i="7"/>
  <c r="D20" i="4"/>
  <c r="H20" i="4"/>
  <c r="E21" i="4" s="1"/>
  <c r="D19" i="3"/>
  <c r="H19" i="3"/>
  <c r="E20" i="3" s="1"/>
  <c r="G18" i="2"/>
  <c r="C18" i="2"/>
  <c r="F24" i="2" s="1"/>
  <c r="C19" i="1"/>
  <c r="H19" i="1" s="1"/>
  <c r="E20" i="1" s="1"/>
  <c r="G21" i="7" l="1"/>
  <c r="G21" i="4"/>
  <c r="C21" i="4"/>
  <c r="F25" i="4" s="1"/>
  <c r="G20" i="3"/>
  <c r="C20" i="3"/>
  <c r="F25" i="3" s="1"/>
  <c r="D18" i="2"/>
  <c r="H18" i="2"/>
  <c r="E19" i="2" s="1"/>
  <c r="C20" i="1"/>
  <c r="F27" i="1" s="1"/>
  <c r="G20" i="1"/>
  <c r="D19" i="1"/>
  <c r="F26" i="1"/>
  <c r="J21" i="7" l="1"/>
  <c r="D21" i="4"/>
  <c r="H21" i="4"/>
  <c r="E22" i="4" s="1"/>
  <c r="D20" i="3"/>
  <c r="H20" i="3"/>
  <c r="E21" i="3" s="1"/>
  <c r="G19" i="2"/>
  <c r="C19" i="2"/>
  <c r="F25" i="2" s="1"/>
  <c r="H20" i="1"/>
  <c r="E21" i="1" s="1"/>
  <c r="D20" i="1"/>
  <c r="F22" i="7" l="1"/>
  <c r="I22" i="7"/>
  <c r="C22" i="4"/>
  <c r="F26" i="4" s="1"/>
  <c r="G22" i="4"/>
  <c r="C21" i="3"/>
  <c r="F26" i="3" s="1"/>
  <c r="G21" i="3"/>
  <c r="D19" i="2"/>
  <c r="H19" i="2"/>
  <c r="E20" i="2" s="1"/>
  <c r="G21" i="1"/>
  <c r="C21" i="1"/>
  <c r="H23" i="7" l="1"/>
  <c r="J22" i="7"/>
  <c r="G22" i="7"/>
  <c r="H22" i="4"/>
  <c r="E23" i="4" s="1"/>
  <c r="C23" i="4" s="1"/>
  <c r="F27" i="4" s="1"/>
  <c r="D22" i="4"/>
  <c r="H21" i="3"/>
  <c r="E22" i="3" s="1"/>
  <c r="C22" i="3" s="1"/>
  <c r="F27" i="3" s="1"/>
  <c r="D21" i="3"/>
  <c r="G20" i="2"/>
  <c r="C20" i="2"/>
  <c r="F26" i="2" s="1"/>
  <c r="F28" i="1"/>
  <c r="D21" i="1"/>
  <c r="H21" i="1"/>
  <c r="E22" i="1" s="1"/>
  <c r="F23" i="7" l="1"/>
  <c r="I23" i="7"/>
  <c r="G23" i="4"/>
  <c r="H23" i="4" s="1"/>
  <c r="E24" i="4" s="1"/>
  <c r="G24" i="4" s="1"/>
  <c r="D23" i="4"/>
  <c r="G22" i="3"/>
  <c r="H22" i="3" s="1"/>
  <c r="E23" i="3" s="1"/>
  <c r="G23" i="3" s="1"/>
  <c r="D22" i="3"/>
  <c r="D20" i="2"/>
  <c r="H20" i="2"/>
  <c r="E21" i="2" s="1"/>
  <c r="G22" i="1"/>
  <c r="C22" i="1"/>
  <c r="H24" i="7" l="1"/>
  <c r="G23" i="7"/>
  <c r="J23" i="7"/>
  <c r="C24" i="4"/>
  <c r="F28" i="4" s="1"/>
  <c r="D24" i="4"/>
  <c r="H24" i="4"/>
  <c r="E25" i="4" s="1"/>
  <c r="C23" i="3"/>
  <c r="F28" i="3" s="1"/>
  <c r="C21" i="2"/>
  <c r="F27" i="2" s="1"/>
  <c r="G21" i="2"/>
  <c r="F29" i="1"/>
  <c r="D22" i="1"/>
  <c r="H22" i="1"/>
  <c r="E23" i="1" s="1"/>
  <c r="F24" i="7" l="1"/>
  <c r="I24" i="7"/>
  <c r="G25" i="4"/>
  <c r="C25" i="4"/>
  <c r="F29" i="4" s="1"/>
  <c r="D23" i="3"/>
  <c r="H23" i="3"/>
  <c r="E24" i="3" s="1"/>
  <c r="C24" i="3"/>
  <c r="F29" i="3" s="1"/>
  <c r="G24" i="3"/>
  <c r="H21" i="2"/>
  <c r="E22" i="2" s="1"/>
  <c r="G22" i="2" s="1"/>
  <c r="D21" i="2"/>
  <c r="G23" i="1"/>
  <c r="C23" i="1"/>
  <c r="H25" i="7" l="1"/>
  <c r="G24" i="7"/>
  <c r="J24" i="7"/>
  <c r="D25" i="4"/>
  <c r="H25" i="4"/>
  <c r="E26" i="4" s="1"/>
  <c r="H24" i="3"/>
  <c r="E25" i="3" s="1"/>
  <c r="C25" i="3" s="1"/>
  <c r="F30" i="3" s="1"/>
  <c r="D24" i="3"/>
  <c r="C22" i="2"/>
  <c r="F28" i="2" s="1"/>
  <c r="D23" i="1"/>
  <c r="F30" i="1"/>
  <c r="H23" i="1"/>
  <c r="E24" i="1" s="1"/>
  <c r="F25" i="7" l="1"/>
  <c r="H26" i="7"/>
  <c r="I25" i="7"/>
  <c r="C26" i="4"/>
  <c r="F30" i="4" s="1"/>
  <c r="G26" i="4"/>
  <c r="H26" i="4" s="1"/>
  <c r="E27" i="4" s="1"/>
  <c r="G25" i="3"/>
  <c r="H25" i="3" s="1"/>
  <c r="E26" i="3" s="1"/>
  <c r="G26" i="3" s="1"/>
  <c r="D25" i="3"/>
  <c r="H22" i="2"/>
  <c r="E23" i="2" s="1"/>
  <c r="D22" i="2"/>
  <c r="G23" i="2"/>
  <c r="C23" i="2"/>
  <c r="F29" i="2" s="1"/>
  <c r="G24" i="1"/>
  <c r="C24" i="1"/>
  <c r="C27" i="4" l="1"/>
  <c r="F31" i="4" s="1"/>
  <c r="G27" i="4"/>
  <c r="D26" i="4"/>
  <c r="C26" i="3"/>
  <c r="D23" i="2"/>
  <c r="H23" i="2"/>
  <c r="E24" i="2" s="1"/>
  <c r="D24" i="1"/>
  <c r="F31" i="1"/>
  <c r="H24" i="1"/>
  <c r="E25" i="1" s="1"/>
  <c r="G25" i="7" l="1"/>
  <c r="J25" i="7"/>
  <c r="H27" i="4"/>
  <c r="E28" i="4" s="1"/>
  <c r="G28" i="4" s="1"/>
  <c r="D27" i="4"/>
  <c r="D26" i="3"/>
  <c r="F31" i="3"/>
  <c r="H26" i="3"/>
  <c r="E27" i="3" s="1"/>
  <c r="G27" i="3" s="1"/>
  <c r="G24" i="2"/>
  <c r="C24" i="2"/>
  <c r="F30" i="2" s="1"/>
  <c r="C25" i="1"/>
  <c r="G25" i="1"/>
  <c r="F26" i="7" l="1"/>
  <c r="I26" i="7"/>
  <c r="C28" i="4"/>
  <c r="F32" i="4" s="1"/>
  <c r="C27" i="3"/>
  <c r="F32" i="3" s="1"/>
  <c r="D24" i="2"/>
  <c r="H24" i="2"/>
  <c r="E25" i="2" s="1"/>
  <c r="H25" i="1"/>
  <c r="E26" i="1" s="1"/>
  <c r="C26" i="1" s="1"/>
  <c r="D25" i="1"/>
  <c r="F32" i="1"/>
  <c r="H27" i="7" l="1"/>
  <c r="G26" i="7"/>
  <c r="J26" i="7"/>
  <c r="D28" i="4"/>
  <c r="H28" i="4"/>
  <c r="E29" i="4" s="1"/>
  <c r="G29" i="4"/>
  <c r="C29" i="4"/>
  <c r="F33" i="4" s="1"/>
  <c r="H27" i="3"/>
  <c r="E28" i="3" s="1"/>
  <c r="C28" i="3" s="1"/>
  <c r="F33" i="3" s="1"/>
  <c r="D27" i="3"/>
  <c r="C25" i="2"/>
  <c r="F31" i="2" s="1"/>
  <c r="G25" i="2"/>
  <c r="G26" i="1"/>
  <c r="H26" i="1" s="1"/>
  <c r="E27" i="1" s="1"/>
  <c r="F33" i="1"/>
  <c r="D26" i="1"/>
  <c r="F27" i="7" l="1"/>
  <c r="I27" i="7"/>
  <c r="D29" i="4"/>
  <c r="H29" i="4"/>
  <c r="E30" i="4" s="1"/>
  <c r="G28" i="3"/>
  <c r="H28" i="3" s="1"/>
  <c r="E29" i="3" s="1"/>
  <c r="D28" i="3"/>
  <c r="H25" i="2"/>
  <c r="E26" i="2" s="1"/>
  <c r="C26" i="2" s="1"/>
  <c r="F32" i="2" s="1"/>
  <c r="D25" i="2"/>
  <c r="G27" i="1"/>
  <c r="C27" i="1"/>
  <c r="D27" i="1" s="1"/>
  <c r="H28" i="7" l="1"/>
  <c r="J27" i="7"/>
  <c r="G27" i="7"/>
  <c r="C30" i="4"/>
  <c r="F34" i="4" s="1"/>
  <c r="G30" i="4"/>
  <c r="C29" i="3"/>
  <c r="F34" i="3" s="1"/>
  <c r="G29" i="3"/>
  <c r="G26" i="2"/>
  <c r="H26" i="2" s="1"/>
  <c r="E27" i="2" s="1"/>
  <c r="G27" i="2" s="1"/>
  <c r="C27" i="2"/>
  <c r="F33" i="2" s="1"/>
  <c r="D26" i="2"/>
  <c r="H27" i="1"/>
  <c r="E28" i="1" s="1"/>
  <c r="C28" i="1" s="1"/>
  <c r="F34" i="1"/>
  <c r="F28" i="7" l="1"/>
  <c r="H29" i="7"/>
  <c r="I28" i="7"/>
  <c r="H30" i="4"/>
  <c r="E31" i="4" s="1"/>
  <c r="C31" i="4"/>
  <c r="F35" i="4" s="1"/>
  <c r="G31" i="4"/>
  <c r="H31" i="4" s="1"/>
  <c r="E32" i="4" s="1"/>
  <c r="D30" i="4"/>
  <c r="H29" i="3"/>
  <c r="E30" i="3" s="1"/>
  <c r="C30" i="3" s="1"/>
  <c r="F35" i="3" s="1"/>
  <c r="D29" i="3"/>
  <c r="D27" i="2"/>
  <c r="H27" i="2"/>
  <c r="E28" i="2" s="1"/>
  <c r="G28" i="1"/>
  <c r="H28" i="1" s="1"/>
  <c r="E29" i="1" s="1"/>
  <c r="C29" i="1" s="1"/>
  <c r="D28" i="1"/>
  <c r="F35" i="1"/>
  <c r="G32" i="4" l="1"/>
  <c r="C32" i="4"/>
  <c r="F36" i="4" s="1"/>
  <c r="D31" i="4"/>
  <c r="G30" i="3"/>
  <c r="H30" i="3" s="1"/>
  <c r="E31" i="3" s="1"/>
  <c r="G31" i="3" s="1"/>
  <c r="D30" i="3"/>
  <c r="C28" i="2"/>
  <c r="F34" i="2" s="1"/>
  <c r="G28" i="2"/>
  <c r="G29" i="1"/>
  <c r="H29" i="1" s="1"/>
  <c r="E30" i="1" s="1"/>
  <c r="D29" i="1"/>
  <c r="F36" i="1"/>
  <c r="G28" i="7" l="1"/>
  <c r="J28" i="7"/>
  <c r="F29" i="7" s="1"/>
  <c r="D32" i="4"/>
  <c r="H32" i="4"/>
  <c r="E33" i="4" s="1"/>
  <c r="C31" i="3"/>
  <c r="F36" i="3" s="1"/>
  <c r="D31" i="3"/>
  <c r="H31" i="3"/>
  <c r="E32" i="3" s="1"/>
  <c r="H28" i="2"/>
  <c r="E29" i="2" s="1"/>
  <c r="C29" i="2"/>
  <c r="F35" i="2" s="1"/>
  <c r="G29" i="2"/>
  <c r="D28" i="2"/>
  <c r="G30" i="1"/>
  <c r="C30" i="1"/>
  <c r="H30" i="7" l="1"/>
  <c r="I29" i="7"/>
  <c r="G33" i="4"/>
  <c r="C33" i="4"/>
  <c r="F37" i="4" s="1"/>
  <c r="C32" i="3"/>
  <c r="F37" i="3" s="1"/>
  <c r="G32" i="3"/>
  <c r="H32" i="3" s="1"/>
  <c r="E33" i="3" s="1"/>
  <c r="H29" i="2"/>
  <c r="E30" i="2" s="1"/>
  <c r="G30" i="2" s="1"/>
  <c r="C30" i="2"/>
  <c r="F36" i="2" s="1"/>
  <c r="D29" i="2"/>
  <c r="F37" i="1"/>
  <c r="D30" i="1"/>
  <c r="H30" i="1"/>
  <c r="E31" i="1" s="1"/>
  <c r="G29" i="7" l="1"/>
  <c r="J29" i="7"/>
  <c r="D33" i="4"/>
  <c r="H33" i="4"/>
  <c r="E34" i="4" s="1"/>
  <c r="C33" i="3"/>
  <c r="F38" i="3" s="1"/>
  <c r="G33" i="3"/>
  <c r="D32" i="3"/>
  <c r="H30" i="2"/>
  <c r="E31" i="2" s="1"/>
  <c r="G31" i="2"/>
  <c r="C31" i="2"/>
  <c r="F37" i="2" s="1"/>
  <c r="D30" i="2"/>
  <c r="G31" i="1"/>
  <c r="C31" i="1"/>
  <c r="F30" i="7" l="1"/>
  <c r="I30" i="7"/>
  <c r="C34" i="4"/>
  <c r="F38" i="4" s="1"/>
  <c r="G34" i="4"/>
  <c r="H33" i="3"/>
  <c r="E34" i="3" s="1"/>
  <c r="G34" i="3"/>
  <c r="C34" i="3"/>
  <c r="F39" i="3" s="1"/>
  <c r="D33" i="3"/>
  <c r="D31" i="2"/>
  <c r="H31" i="2"/>
  <c r="E32" i="2" s="1"/>
  <c r="D31" i="1"/>
  <c r="F38" i="1"/>
  <c r="H31" i="1"/>
  <c r="E32" i="1" s="1"/>
  <c r="H31" i="7" l="1"/>
  <c r="G30" i="7"/>
  <c r="J30" i="7"/>
  <c r="H34" i="4"/>
  <c r="E35" i="4" s="1"/>
  <c r="C35" i="4"/>
  <c r="F39" i="4" s="1"/>
  <c r="G35" i="4"/>
  <c r="H35" i="4" s="1"/>
  <c r="E36" i="4" s="1"/>
  <c r="D34" i="4"/>
  <c r="D34" i="3"/>
  <c r="H34" i="3"/>
  <c r="E35" i="3" s="1"/>
  <c r="C32" i="2"/>
  <c r="F38" i="2" s="1"/>
  <c r="G32" i="2"/>
  <c r="H32" i="2" s="1"/>
  <c r="E33" i="2" s="1"/>
  <c r="C32" i="1"/>
  <c r="G32" i="1"/>
  <c r="F31" i="7" l="1"/>
  <c r="H32" i="7"/>
  <c r="I31" i="7"/>
  <c r="G36" i="4"/>
  <c r="C36" i="4"/>
  <c r="F40" i="4" s="1"/>
  <c r="D35" i="4"/>
  <c r="G35" i="3"/>
  <c r="C35" i="3"/>
  <c r="F40" i="3" s="1"/>
  <c r="C33" i="2"/>
  <c r="F39" i="2" s="1"/>
  <c r="G33" i="2"/>
  <c r="H33" i="2" s="1"/>
  <c r="E34" i="2" s="1"/>
  <c r="D32" i="2"/>
  <c r="H32" i="1"/>
  <c r="E33" i="1" s="1"/>
  <c r="C33" i="1" s="1"/>
  <c r="D32" i="1"/>
  <c r="F39" i="1"/>
  <c r="D36" i="4" l="1"/>
  <c r="H36" i="4"/>
  <c r="E37" i="4" s="1"/>
  <c r="D35" i="3"/>
  <c r="H35" i="3"/>
  <c r="C34" i="2"/>
  <c r="F40" i="2" s="1"/>
  <c r="G34" i="2"/>
  <c r="D33" i="2"/>
  <c r="G33" i="1"/>
  <c r="H33" i="1" s="1"/>
  <c r="E34" i="1" s="1"/>
  <c r="G34" i="1" s="1"/>
  <c r="D33" i="1"/>
  <c r="F40" i="1"/>
  <c r="G31" i="7" l="1"/>
  <c r="J31" i="7"/>
  <c r="F32" i="7" s="1"/>
  <c r="G37" i="4"/>
  <c r="C37" i="4"/>
  <c r="F41" i="4" s="1"/>
  <c r="G36" i="3"/>
  <c r="C36" i="3"/>
  <c r="F41" i="3" s="1"/>
  <c r="H34" i="2"/>
  <c r="E35" i="2" s="1"/>
  <c r="G35" i="2" s="1"/>
  <c r="D34" i="2"/>
  <c r="C34" i="1"/>
  <c r="F41" i="1" s="1"/>
  <c r="H33" i="7" l="1"/>
  <c r="I32" i="7"/>
  <c r="D37" i="4"/>
  <c r="H37" i="4"/>
  <c r="E38" i="4" s="1"/>
  <c r="D36" i="3"/>
  <c r="H36" i="3"/>
  <c r="E37" i="3" s="1"/>
  <c r="C35" i="2"/>
  <c r="F41" i="2" s="1"/>
  <c r="H34" i="1"/>
  <c r="E35" i="1" s="1"/>
  <c r="G35" i="1" s="1"/>
  <c r="D34" i="1"/>
  <c r="C38" i="4" l="1"/>
  <c r="F42" i="4" s="1"/>
  <c r="G38" i="4"/>
  <c r="C37" i="3"/>
  <c r="F42" i="3" s="1"/>
  <c r="G37" i="3"/>
  <c r="H37" i="3" s="1"/>
  <c r="E38" i="3" s="1"/>
  <c r="H35" i="2"/>
  <c r="E36" i="2" s="1"/>
  <c r="G36" i="2" s="1"/>
  <c r="D35" i="2"/>
  <c r="C35" i="1"/>
  <c r="H35" i="1" s="1"/>
  <c r="E36" i="1" s="1"/>
  <c r="G36" i="1" s="1"/>
  <c r="G32" i="7" l="1"/>
  <c r="J32" i="7"/>
  <c r="H38" i="4"/>
  <c r="E39" i="4" s="1"/>
  <c r="G39" i="4" s="1"/>
  <c r="C39" i="4"/>
  <c r="F43" i="4" s="1"/>
  <c r="D38" i="4"/>
  <c r="G38" i="3"/>
  <c r="C38" i="3"/>
  <c r="F43" i="3" s="1"/>
  <c r="D37" i="3"/>
  <c r="C36" i="2"/>
  <c r="F42" i="2" s="1"/>
  <c r="H36" i="2"/>
  <c r="E37" i="2" s="1"/>
  <c r="D35" i="1"/>
  <c r="F42" i="1"/>
  <c r="C36" i="1"/>
  <c r="D36" i="1" s="1"/>
  <c r="F33" i="7" l="1"/>
  <c r="I33" i="7"/>
  <c r="H39" i="4"/>
  <c r="E40" i="4" s="1"/>
  <c r="G40" i="4"/>
  <c r="C40" i="4"/>
  <c r="F44" i="4" s="1"/>
  <c r="D39" i="4"/>
  <c r="D38" i="3"/>
  <c r="H38" i="3"/>
  <c r="E39" i="3" s="1"/>
  <c r="D36" i="2"/>
  <c r="C37" i="2"/>
  <c r="F43" i="2" s="1"/>
  <c r="G37" i="2"/>
  <c r="H36" i="1"/>
  <c r="E37" i="1" s="1"/>
  <c r="C37" i="1" s="1"/>
  <c r="F43" i="1"/>
  <c r="H34" i="7" l="1"/>
  <c r="G33" i="7"/>
  <c r="J33" i="7"/>
  <c r="G37" i="1"/>
  <c r="D40" i="4"/>
  <c r="H40" i="4"/>
  <c r="E41" i="4" s="1"/>
  <c r="G39" i="3"/>
  <c r="C39" i="3"/>
  <c r="F44" i="3" s="1"/>
  <c r="H37" i="2"/>
  <c r="E38" i="2" s="1"/>
  <c r="C38" i="2" s="1"/>
  <c r="F44" i="2" s="1"/>
  <c r="D37" i="2"/>
  <c r="H37" i="1"/>
  <c r="E38" i="1" s="1"/>
  <c r="G38" i="1" s="1"/>
  <c r="D37" i="1"/>
  <c r="F44" i="1"/>
  <c r="F34" i="7" l="1"/>
  <c r="I34" i="7"/>
  <c r="G41" i="4"/>
  <c r="C41" i="4"/>
  <c r="F45" i="4" s="1"/>
  <c r="D39" i="3"/>
  <c r="H39" i="3"/>
  <c r="E40" i="3" s="1"/>
  <c r="G38" i="2"/>
  <c r="H38" i="2" s="1"/>
  <c r="E39" i="2" s="1"/>
  <c r="D38" i="2"/>
  <c r="C38" i="1"/>
  <c r="H35" i="7" l="1"/>
  <c r="G34" i="7"/>
  <c r="J34" i="7"/>
  <c r="D41" i="4"/>
  <c r="H41" i="4"/>
  <c r="E42" i="4" s="1"/>
  <c r="C40" i="3"/>
  <c r="F45" i="3" s="1"/>
  <c r="G40" i="3"/>
  <c r="H40" i="3" s="1"/>
  <c r="E41" i="3" s="1"/>
  <c r="G39" i="2"/>
  <c r="C39" i="2"/>
  <c r="F45" i="2" s="1"/>
  <c r="H39" i="2"/>
  <c r="E40" i="2" s="1"/>
  <c r="H38" i="1"/>
  <c r="E39" i="1" s="1"/>
  <c r="D38" i="1"/>
  <c r="F45" i="1"/>
  <c r="F35" i="7" l="1"/>
  <c r="I35" i="7"/>
  <c r="C42" i="4"/>
  <c r="F46" i="4" s="1"/>
  <c r="G42" i="4"/>
  <c r="C41" i="3"/>
  <c r="F46" i="3" s="1"/>
  <c r="G41" i="3"/>
  <c r="H41" i="3" s="1"/>
  <c r="E42" i="3" s="1"/>
  <c r="D40" i="3"/>
  <c r="D39" i="2"/>
  <c r="G40" i="2"/>
  <c r="C40" i="2"/>
  <c r="F46" i="2" s="1"/>
  <c r="G39" i="1"/>
  <c r="C39" i="1"/>
  <c r="H36" i="7" l="1"/>
  <c r="G35" i="7"/>
  <c r="J35" i="7"/>
  <c r="H42" i="4"/>
  <c r="E43" i="4" s="1"/>
  <c r="C43" i="4"/>
  <c r="F47" i="4" s="1"/>
  <c r="G43" i="4"/>
  <c r="H43" i="4" s="1"/>
  <c r="E44" i="4" s="1"/>
  <c r="D42" i="4"/>
  <c r="G42" i="3"/>
  <c r="C42" i="3"/>
  <c r="F47" i="3" s="1"/>
  <c r="D41" i="3"/>
  <c r="D40" i="2"/>
  <c r="H40" i="2"/>
  <c r="E41" i="2" s="1"/>
  <c r="F46" i="1"/>
  <c r="D39" i="1"/>
  <c r="H39" i="1"/>
  <c r="E40" i="1" s="1"/>
  <c r="F36" i="7" l="1"/>
  <c r="I36" i="7"/>
  <c r="G44" i="4"/>
  <c r="C44" i="4"/>
  <c r="F48" i="4" s="1"/>
  <c r="D43" i="4"/>
  <c r="D42" i="3"/>
  <c r="H42" i="3"/>
  <c r="E43" i="3" s="1"/>
  <c r="C41" i="2"/>
  <c r="F47" i="2" s="1"/>
  <c r="G41" i="2"/>
  <c r="G40" i="1"/>
  <c r="C40" i="1"/>
  <c r="H37" i="7" l="1"/>
  <c r="G36" i="7"/>
  <c r="J36" i="7"/>
  <c r="D44" i="4"/>
  <c r="H44" i="4"/>
  <c r="E45" i="4" s="1"/>
  <c r="G43" i="3"/>
  <c r="C43" i="3"/>
  <c r="F48" i="3" s="1"/>
  <c r="H41" i="2"/>
  <c r="E42" i="2" s="1"/>
  <c r="C42" i="2" s="1"/>
  <c r="F48" i="2" s="1"/>
  <c r="D41" i="2"/>
  <c r="F47" i="1"/>
  <c r="D40" i="1"/>
  <c r="H40" i="1"/>
  <c r="E41" i="1" s="1"/>
  <c r="F37" i="7" l="1"/>
  <c r="I37" i="7"/>
  <c r="G45" i="4"/>
  <c r="C45" i="4"/>
  <c r="F49" i="4" s="1"/>
  <c r="D43" i="3"/>
  <c r="H43" i="3"/>
  <c r="E44" i="3" s="1"/>
  <c r="G42" i="2"/>
  <c r="H42" i="2" s="1"/>
  <c r="E43" i="2" s="1"/>
  <c r="G43" i="2" s="1"/>
  <c r="D42" i="2"/>
  <c r="C41" i="1"/>
  <c r="G41" i="1"/>
  <c r="H38" i="7" l="1"/>
  <c r="J37" i="7"/>
  <c r="G37" i="7"/>
  <c r="D45" i="4"/>
  <c r="H45" i="4"/>
  <c r="E46" i="4" s="1"/>
  <c r="C44" i="3"/>
  <c r="F49" i="3" s="1"/>
  <c r="G44" i="3"/>
  <c r="H44" i="3" s="1"/>
  <c r="E45" i="3" s="1"/>
  <c r="C43" i="2"/>
  <c r="F49" i="2" s="1"/>
  <c r="H41" i="1"/>
  <c r="E42" i="1" s="1"/>
  <c r="G42" i="1" s="1"/>
  <c r="D41" i="1"/>
  <c r="F48" i="1"/>
  <c r="F38" i="7" l="1"/>
  <c r="I38" i="7"/>
  <c r="C46" i="4"/>
  <c r="F50" i="4" s="1"/>
  <c r="G46" i="4"/>
  <c r="H46" i="4" s="1"/>
  <c r="E47" i="4" s="1"/>
  <c r="C45" i="3"/>
  <c r="F50" i="3" s="1"/>
  <c r="G45" i="3"/>
  <c r="D44" i="3"/>
  <c r="H43" i="2"/>
  <c r="E44" i="2" s="1"/>
  <c r="G44" i="2" s="1"/>
  <c r="D43" i="2"/>
  <c r="C42" i="1"/>
  <c r="F49" i="1" s="1"/>
  <c r="H39" i="7" l="1"/>
  <c r="G38" i="7"/>
  <c r="J38" i="7"/>
  <c r="C47" i="4"/>
  <c r="F51" i="4" s="1"/>
  <c r="G47" i="4"/>
  <c r="H47" i="4" s="1"/>
  <c r="E48" i="4" s="1"/>
  <c r="D46" i="4"/>
  <c r="H45" i="3"/>
  <c r="E46" i="3" s="1"/>
  <c r="G46" i="3" s="1"/>
  <c r="D45" i="3"/>
  <c r="C44" i="2"/>
  <c r="F50" i="2" s="1"/>
  <c r="H42" i="1"/>
  <c r="E43" i="1" s="1"/>
  <c r="G43" i="1" s="1"/>
  <c r="D42" i="1"/>
  <c r="F39" i="7" l="1"/>
  <c r="H40" i="7"/>
  <c r="I39" i="7"/>
  <c r="G48" i="4"/>
  <c r="C48" i="4"/>
  <c r="F52" i="4" s="1"/>
  <c r="D47" i="4"/>
  <c r="C46" i="3"/>
  <c r="F51" i="3" s="1"/>
  <c r="H44" i="2"/>
  <c r="E45" i="2" s="1"/>
  <c r="C45" i="2" s="1"/>
  <c r="F51" i="2" s="1"/>
  <c r="D44" i="2"/>
  <c r="C43" i="1"/>
  <c r="D43" i="1" s="1"/>
  <c r="D48" i="4" l="1"/>
  <c r="H48" i="4"/>
  <c r="E49" i="4" s="1"/>
  <c r="H46" i="3"/>
  <c r="E47" i="3" s="1"/>
  <c r="G47" i="3" s="1"/>
  <c r="D46" i="3"/>
  <c r="G45" i="2"/>
  <c r="H45" i="2" s="1"/>
  <c r="E46" i="2" s="1"/>
  <c r="G46" i="2" s="1"/>
  <c r="D45" i="2"/>
  <c r="H43" i="1"/>
  <c r="E44" i="1" s="1"/>
  <c r="C44" i="1" s="1"/>
  <c r="F50" i="1"/>
  <c r="G39" i="7" l="1"/>
  <c r="J39" i="7"/>
  <c r="F40" i="7" s="1"/>
  <c r="G49" i="4"/>
  <c r="C49" i="4"/>
  <c r="F53" i="4" s="1"/>
  <c r="C47" i="3"/>
  <c r="C46" i="2"/>
  <c r="F52" i="2" s="1"/>
  <c r="G44" i="1"/>
  <c r="H44" i="1" s="1"/>
  <c r="E45" i="1" s="1"/>
  <c r="G45" i="1" s="1"/>
  <c r="F51" i="1"/>
  <c r="D44" i="1"/>
  <c r="H41" i="7" l="1"/>
  <c r="I40" i="7"/>
  <c r="D49" i="4"/>
  <c r="H49" i="4"/>
  <c r="E50" i="4" s="1"/>
  <c r="D47" i="3"/>
  <c r="F52" i="3"/>
  <c r="H47" i="3"/>
  <c r="E48" i="3" s="1"/>
  <c r="C48" i="3" s="1"/>
  <c r="F53" i="3" s="1"/>
  <c r="G48" i="3"/>
  <c r="H46" i="2"/>
  <c r="E47" i="2" s="1"/>
  <c r="G47" i="2" s="1"/>
  <c r="D46" i="2"/>
  <c r="C45" i="1"/>
  <c r="F52" i="1" s="1"/>
  <c r="C50" i="4" l="1"/>
  <c r="F54" i="4" s="1"/>
  <c r="G50" i="4"/>
  <c r="H50" i="4" s="1"/>
  <c r="E51" i="4" s="1"/>
  <c r="H48" i="3"/>
  <c r="E49" i="3" s="1"/>
  <c r="C49" i="3"/>
  <c r="F54" i="3" s="1"/>
  <c r="G49" i="3"/>
  <c r="D48" i="3"/>
  <c r="C47" i="2"/>
  <c r="F53" i="2" s="1"/>
  <c r="H45" i="1"/>
  <c r="E46" i="1" s="1"/>
  <c r="G46" i="1" s="1"/>
  <c r="D45" i="1"/>
  <c r="G40" i="7" l="1"/>
  <c r="J40" i="7"/>
  <c r="G51" i="4"/>
  <c r="C51" i="4"/>
  <c r="F55" i="4" s="1"/>
  <c r="D50" i="4"/>
  <c r="H49" i="3"/>
  <c r="E50" i="3" s="1"/>
  <c r="C50" i="3" s="1"/>
  <c r="F55" i="3" s="1"/>
  <c r="G50" i="3"/>
  <c r="D49" i="3"/>
  <c r="H47" i="2"/>
  <c r="E48" i="2" s="1"/>
  <c r="C48" i="2" s="1"/>
  <c r="F54" i="2" s="1"/>
  <c r="D47" i="2"/>
  <c r="C46" i="1"/>
  <c r="F53" i="1" s="1"/>
  <c r="F41" i="7" l="1"/>
  <c r="I41" i="7"/>
  <c r="D51" i="4"/>
  <c r="H51" i="4"/>
  <c r="E52" i="4" s="1"/>
  <c r="D50" i="3"/>
  <c r="H50" i="3"/>
  <c r="E51" i="3" s="1"/>
  <c r="G48" i="2"/>
  <c r="H48" i="2" s="1"/>
  <c r="E49" i="2" s="1"/>
  <c r="D48" i="2"/>
  <c r="H46" i="1"/>
  <c r="E47" i="1" s="1"/>
  <c r="C47" i="1" s="1"/>
  <c r="D46" i="1"/>
  <c r="H42" i="7" l="1"/>
  <c r="G41" i="7"/>
  <c r="J41" i="7"/>
  <c r="G52" i="4"/>
  <c r="C52" i="4"/>
  <c r="F56" i="4" s="1"/>
  <c r="G51" i="3"/>
  <c r="C51" i="3"/>
  <c r="F56" i="3" s="1"/>
  <c r="C49" i="2"/>
  <c r="F55" i="2" s="1"/>
  <c r="G49" i="2"/>
  <c r="G47" i="1"/>
  <c r="H47" i="1" s="1"/>
  <c r="E48" i="1" s="1"/>
  <c r="G48" i="1" s="1"/>
  <c r="D47" i="1"/>
  <c r="F54" i="1"/>
  <c r="F42" i="7" l="1"/>
  <c r="H43" i="7"/>
  <c r="I42" i="7"/>
  <c r="D52" i="4"/>
  <c r="H52" i="4"/>
  <c r="E53" i="4" s="1"/>
  <c r="D51" i="3"/>
  <c r="H51" i="3"/>
  <c r="E52" i="3" s="1"/>
  <c r="D49" i="2"/>
  <c r="H49" i="2"/>
  <c r="E50" i="2" s="1"/>
  <c r="C48" i="1"/>
  <c r="D48" i="1" s="1"/>
  <c r="C53" i="4" l="1"/>
  <c r="F57" i="4" s="1"/>
  <c r="G53" i="4"/>
  <c r="C52" i="3"/>
  <c r="F57" i="3" s="1"/>
  <c r="G52" i="3"/>
  <c r="G50" i="2"/>
  <c r="C50" i="2"/>
  <c r="H48" i="1"/>
  <c r="E49" i="1" s="1"/>
  <c r="C49" i="1" s="1"/>
  <c r="F55" i="1"/>
  <c r="J42" i="7" l="1"/>
  <c r="G42" i="7"/>
  <c r="H53" i="4"/>
  <c r="E54" i="4" s="1"/>
  <c r="C54" i="4" s="1"/>
  <c r="D53" i="4"/>
  <c r="H52" i="3"/>
  <c r="E53" i="3" s="1"/>
  <c r="C53" i="3" s="1"/>
  <c r="D52" i="3"/>
  <c r="F56" i="2"/>
  <c r="D50" i="2"/>
  <c r="H50" i="2"/>
  <c r="E51" i="2" s="1"/>
  <c r="G49" i="1"/>
  <c r="H49" i="1" s="1"/>
  <c r="E50" i="1" s="1"/>
  <c r="C50" i="1" s="1"/>
  <c r="F56" i="1"/>
  <c r="D49" i="1"/>
  <c r="F43" i="7" l="1"/>
  <c r="I43" i="7"/>
  <c r="D54" i="4"/>
  <c r="F58" i="4"/>
  <c r="G54" i="4"/>
  <c r="H54" i="4" s="1"/>
  <c r="E55" i="4" s="1"/>
  <c r="G55" i="4" s="1"/>
  <c r="C55" i="4"/>
  <c r="D55" i="4" s="1"/>
  <c r="D53" i="3"/>
  <c r="F58" i="3"/>
  <c r="G53" i="3"/>
  <c r="H53" i="3" s="1"/>
  <c r="E54" i="3" s="1"/>
  <c r="G54" i="3" s="1"/>
  <c r="C54" i="3"/>
  <c r="D54" i="3" s="1"/>
  <c r="G51" i="2"/>
  <c r="C51" i="2"/>
  <c r="G50" i="1"/>
  <c r="H50" i="1" s="1"/>
  <c r="E51" i="1" s="1"/>
  <c r="D50" i="1"/>
  <c r="F57" i="1"/>
  <c r="H44" i="7" l="1"/>
  <c r="G43" i="7"/>
  <c r="J43" i="7"/>
  <c r="H55" i="4"/>
  <c r="E56" i="4" s="1"/>
  <c r="H54" i="3"/>
  <c r="E55" i="3" s="1"/>
  <c r="F57" i="2"/>
  <c r="D51" i="2"/>
  <c r="H51" i="2"/>
  <c r="E52" i="2" s="1"/>
  <c r="G51" i="1"/>
  <c r="C51" i="1"/>
  <c r="D51" i="1" s="1"/>
  <c r="F44" i="7" l="1"/>
  <c r="H45" i="7"/>
  <c r="I44" i="7"/>
  <c r="G56" i="4"/>
  <c r="C56" i="4"/>
  <c r="D56" i="4" s="1"/>
  <c r="G55" i="3"/>
  <c r="C55" i="3"/>
  <c r="D55" i="3" s="1"/>
  <c r="G52" i="2"/>
  <c r="H52" i="2" s="1"/>
  <c r="E53" i="2" s="1"/>
  <c r="C52" i="2"/>
  <c r="F58" i="1"/>
  <c r="H51" i="1"/>
  <c r="E52" i="1" s="1"/>
  <c r="G52" i="1" s="1"/>
  <c r="H56" i="4" l="1"/>
  <c r="E57" i="4" s="1"/>
  <c r="H55" i="3"/>
  <c r="E56" i="3" s="1"/>
  <c r="G53" i="2"/>
  <c r="H53" i="2" s="1"/>
  <c r="E54" i="2" s="1"/>
  <c r="C53" i="2"/>
  <c r="D53" i="2" s="1"/>
  <c r="D52" i="2"/>
  <c r="F58" i="2"/>
  <c r="C52" i="1"/>
  <c r="D52" i="1" s="1"/>
  <c r="G44" i="7" l="1"/>
  <c r="J44" i="7"/>
  <c r="F45" i="7" s="1"/>
  <c r="C57" i="4"/>
  <c r="D57" i="4" s="1"/>
  <c r="G57" i="4"/>
  <c r="C56" i="3"/>
  <c r="D56" i="3" s="1"/>
  <c r="G56" i="3"/>
  <c r="H56" i="3" s="1"/>
  <c r="E57" i="3" s="1"/>
  <c r="C54" i="2"/>
  <c r="D54" i="2" s="1"/>
  <c r="G54" i="2"/>
  <c r="H52" i="1"/>
  <c r="E53" i="1" s="1"/>
  <c r="G53" i="1" s="1"/>
  <c r="H46" i="7" l="1"/>
  <c r="I45" i="7"/>
  <c r="H57" i="4"/>
  <c r="E58" i="4" s="1"/>
  <c r="C58" i="4"/>
  <c r="G58" i="4"/>
  <c r="C57" i="3"/>
  <c r="D57" i="3" s="1"/>
  <c r="G57" i="3"/>
  <c r="H57" i="3" s="1"/>
  <c r="E58" i="3" s="1"/>
  <c r="H54" i="2"/>
  <c r="E55" i="2" s="1"/>
  <c r="C53" i="1"/>
  <c r="D53" i="1" s="1"/>
  <c r="H58" i="4" l="1"/>
  <c r="D58" i="4"/>
  <c r="C3" i="4"/>
  <c r="G58" i="3"/>
  <c r="C58" i="3"/>
  <c r="C55" i="2"/>
  <c r="D55" i="2" s="1"/>
  <c r="G55" i="2"/>
  <c r="H53" i="1"/>
  <c r="E54" i="1" s="1"/>
  <c r="C54" i="1" s="1"/>
  <c r="D54" i="1" s="1"/>
  <c r="G45" i="7" l="1"/>
  <c r="J45" i="7"/>
  <c r="F46" i="7" s="1"/>
  <c r="G54" i="1"/>
  <c r="E3" i="4"/>
  <c r="C2" i="4"/>
  <c r="D58" i="3"/>
  <c r="C3" i="3"/>
  <c r="H58" i="3"/>
  <c r="H55" i="2"/>
  <c r="E56" i="2" s="1"/>
  <c r="H54" i="1"/>
  <c r="E55" i="1" s="1"/>
  <c r="H47" i="7" l="1"/>
  <c r="I46" i="7"/>
  <c r="E2" i="4"/>
  <c r="E4" i="4"/>
  <c r="E3" i="3"/>
  <c r="C2" i="3"/>
  <c r="G56" i="2"/>
  <c r="C56" i="2"/>
  <c r="D56" i="2" s="1"/>
  <c r="G55" i="1"/>
  <c r="C55" i="1"/>
  <c r="D55" i="1" s="1"/>
  <c r="E2" i="3" l="1"/>
  <c r="E4" i="3"/>
  <c r="H56" i="2"/>
  <c r="E57" i="2" s="1"/>
  <c r="H55" i="1"/>
  <c r="E56" i="1" s="1"/>
  <c r="G46" i="7" l="1"/>
  <c r="J46" i="7"/>
  <c r="F47" i="7" s="1"/>
  <c r="C57" i="2"/>
  <c r="G57" i="2"/>
  <c r="G56" i="1"/>
  <c r="C56" i="1"/>
  <c r="D56" i="1" s="1"/>
  <c r="H48" i="7" l="1"/>
  <c r="I47" i="7"/>
  <c r="D57" i="2"/>
  <c r="H57" i="2"/>
  <c r="E58" i="2" s="1"/>
  <c r="H56" i="1"/>
  <c r="E57" i="1" s="1"/>
  <c r="C58" i="2" l="1"/>
  <c r="G58" i="2"/>
  <c r="H58" i="2" s="1"/>
  <c r="C57" i="1"/>
  <c r="G57" i="1"/>
  <c r="J47" i="7" l="1"/>
  <c r="G47" i="7"/>
  <c r="D58" i="2"/>
  <c r="C3" i="2"/>
  <c r="H57" i="1"/>
  <c r="E58" i="1" s="1"/>
  <c r="G58" i="1" s="1"/>
  <c r="D57" i="1"/>
  <c r="F48" i="7" l="1"/>
  <c r="I48" i="7"/>
  <c r="C2" i="2"/>
  <c r="E3" i="2"/>
  <c r="C58" i="1"/>
  <c r="D58" i="1" s="1"/>
  <c r="C3" i="1"/>
  <c r="H49" i="7" l="1"/>
  <c r="J48" i="7"/>
  <c r="G48" i="7"/>
  <c r="E4" i="2"/>
  <c r="E2" i="2"/>
  <c r="H58" i="1"/>
  <c r="E3" i="1"/>
  <c r="C2" i="1"/>
  <c r="F49" i="7" l="1"/>
  <c r="I49" i="7"/>
  <c r="E2" i="1"/>
  <c r="E4" i="1"/>
  <c r="H50" i="7" l="1"/>
  <c r="J49" i="7"/>
  <c r="G49" i="7"/>
  <c r="F50" i="7" l="1"/>
  <c r="I50" i="7"/>
  <c r="H51" i="7" l="1"/>
  <c r="J50" i="7"/>
  <c r="G50" i="7"/>
  <c r="F51" i="7" l="1"/>
  <c r="I51" i="7"/>
  <c r="H52" i="7" l="1"/>
  <c r="J51" i="7"/>
  <c r="G51" i="7"/>
  <c r="F52" i="7" l="1"/>
  <c r="I52" i="7"/>
  <c r="H53" i="7" l="1"/>
  <c r="J52" i="7"/>
  <c r="G52" i="7"/>
  <c r="F53" i="7" l="1"/>
  <c r="H54" i="7"/>
  <c r="I53" i="7"/>
  <c r="G53" i="7" l="1"/>
  <c r="J53" i="7"/>
  <c r="F54" i="7" s="1"/>
  <c r="H55" i="7" l="1"/>
  <c r="I54" i="7"/>
  <c r="J54" i="7" l="1"/>
  <c r="G54" i="7"/>
  <c r="F55" i="7" l="1"/>
  <c r="I55" i="7"/>
  <c r="H56" i="7" l="1"/>
  <c r="J55" i="7"/>
  <c r="G55" i="7"/>
  <c r="F56" i="7" l="1"/>
  <c r="I56" i="7"/>
  <c r="H57" i="7" l="1"/>
  <c r="J56" i="7"/>
  <c r="G56" i="7"/>
  <c r="F57" i="7" l="1"/>
  <c r="H58" i="7" s="1"/>
  <c r="I57" i="7"/>
  <c r="G57" i="7" l="1"/>
  <c r="J57" i="7"/>
  <c r="F58" i="7" s="1"/>
  <c r="H59" i="7" s="1"/>
  <c r="I58" i="7" l="1"/>
  <c r="G58" i="7" l="1"/>
  <c r="J58" i="7"/>
  <c r="F59" i="7" s="1"/>
  <c r="H60" i="7" s="1"/>
  <c r="I59" i="7" l="1"/>
  <c r="G59" i="7"/>
  <c r="J59" i="7" l="1"/>
  <c r="F60" i="7" s="1"/>
  <c r="H61" i="7" s="1"/>
  <c r="I60" i="7" l="1"/>
  <c r="G60" i="7"/>
  <c r="J60" i="7" l="1"/>
  <c r="F61" i="7" l="1"/>
  <c r="I61" i="7"/>
  <c r="G61" i="7" l="1"/>
  <c r="H62" i="7"/>
  <c r="J61" i="7"/>
  <c r="F62" i="7" l="1"/>
  <c r="I62" i="7"/>
  <c r="G62" i="7" l="1"/>
  <c r="H63" i="7"/>
  <c r="J62" i="7"/>
  <c r="F63" i="7" l="1"/>
  <c r="I63" i="7"/>
  <c r="J63" i="7" l="1"/>
  <c r="G63" i="7"/>
  <c r="F4" i="7"/>
  <c r="F3" i="7" l="1"/>
  <c r="P3" i="7" s="1"/>
  <c r="G4" i="7"/>
  <c r="G5" i="7" l="1"/>
  <c r="C5" i="13" s="1"/>
  <c r="G3" i="7"/>
  <c r="C8" i="13" l="1"/>
  <c r="C12" i="13" s="1"/>
  <c r="E8" i="13"/>
  <c r="E12" i="13" s="1"/>
  <c r="H8" i="13"/>
  <c r="H12" i="13" s="1"/>
  <c r="G8" i="13"/>
  <c r="G12" i="13" s="1"/>
  <c r="F8" i="13"/>
  <c r="F12" i="13" s="1"/>
  <c r="I9" i="13"/>
  <c r="I13" i="13" s="1"/>
  <c r="P5" i="7" s="1"/>
  <c r="F9" i="13"/>
  <c r="F13" i="13" s="1"/>
  <c r="E9" i="13"/>
  <c r="E13" i="13" s="1"/>
  <c r="D9" i="13"/>
  <c r="D13" i="13" s="1"/>
  <c r="I8" i="13"/>
  <c r="I12" i="13" s="1"/>
  <c r="C9" i="13"/>
  <c r="C13" i="13" s="1"/>
  <c r="D8" i="13"/>
  <c r="D12" i="13" s="1"/>
  <c r="H9" i="13"/>
  <c r="H13" i="13" s="1"/>
  <c r="G9" i="13"/>
  <c r="G1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tc={0C91EB32-B981-4D19-A6DC-E5D80B0EB68E}</author>
  </authors>
  <commentList>
    <comment ref="D5" authorId="0" shapeId="0" xr:uid="{0C91EB32-B981-4D19-A6DC-E5D80B0EB68E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hire quantity of EPT trays will automatically calculate how many additional oneway trays you will need considering the rotation time of EPTs and your overall need per week</t>
      </text>
    </comment>
  </commentList>
</comments>
</file>

<file path=xl/sharedStrings.xml><?xml version="1.0" encoding="utf-8"?>
<sst xmlns="http://schemas.openxmlformats.org/spreadsheetml/2006/main" count="118" uniqueCount="61">
  <si>
    <t>You can use this model to also see the infuence of the different parameters:</t>
  </si>
  <si>
    <t>Total need per year</t>
  </si>
  <si>
    <t>EPT rotations per year</t>
  </si>
  <si>
    <t>Share</t>
  </si>
  <si>
    <t>One-way per year</t>
  </si>
  <si>
    <t xml:space="preserve"> </t>
  </si>
  <si>
    <t>EPT hire quantity</t>
  </si>
  <si>
    <t>Return time (weeks)</t>
  </si>
  <si>
    <t>Tray quantity needed per week</t>
  </si>
  <si>
    <t>Week</t>
  </si>
  <si>
    <t>Quantity Oneway</t>
  </si>
  <si>
    <t>Quantity EPT</t>
  </si>
  <si>
    <t>Returned quantity</t>
  </si>
  <si>
    <t>Stock at the beginning of the week</t>
  </si>
  <si>
    <t>Stock at the end of the week</t>
  </si>
  <si>
    <t>Gesamt wenn nur EW</t>
  </si>
  <si>
    <t>Menge MW</t>
  </si>
  <si>
    <t>Anteil</t>
  </si>
  <si>
    <t>Menge EW neu</t>
  </si>
  <si>
    <t>Produktionsmenge</t>
  </si>
  <si>
    <t>Drehzahl</t>
  </si>
  <si>
    <t>KW</t>
  </si>
  <si>
    <t>Sollmenge</t>
  </si>
  <si>
    <t>Einweg zusätzlich</t>
  </si>
  <si>
    <t>MW Einsatz</t>
  </si>
  <si>
    <t>Restbestand</t>
  </si>
  <si>
    <t>Rücklauf</t>
  </si>
  <si>
    <t>Lagerbestand</t>
  </si>
  <si>
    <t>Differenz</t>
  </si>
  <si>
    <t>Preferred Hire Model</t>
  </si>
  <si>
    <t>Kosten p.a.</t>
  </si>
  <si>
    <t>EPT 400</t>
  </si>
  <si>
    <t>EPT 200</t>
  </si>
  <si>
    <t>1 year</t>
  </si>
  <si>
    <t>3 years with annual payment</t>
  </si>
  <si>
    <t>5 years with annual payment</t>
  </si>
  <si>
    <t>10 years with annual payment</t>
  </si>
  <si>
    <t>10 years prepaid</t>
  </si>
  <si>
    <t>5 years prepaid</t>
  </si>
  <si>
    <t>3 years prepaid</t>
  </si>
  <si>
    <t>Rotations p.a.</t>
  </si>
  <si>
    <t>Rotations rounded</t>
  </si>
  <si>
    <t>Kosten pro Umlauf</t>
  </si>
  <si>
    <t>Tray Size used</t>
  </si>
  <si>
    <t>Kostenvorteil pro Umlauf</t>
  </si>
  <si>
    <t>Your cost per tray today</t>
  </si>
  <si>
    <t>Your estimatesd annual saving on one-way plastic waste</t>
  </si>
  <si>
    <t>Your estimated annual purchase cost saving on packaging material</t>
  </si>
  <si>
    <t xml:space="preserve">With our tool you can simulate the share of EPT trays and one way packaging based on your weekly need of trays. </t>
  </si>
  <si>
    <r>
      <t>Simple e</t>
    </r>
    <r>
      <rPr>
        <b/>
        <sz val="11"/>
        <color theme="1"/>
        <rFont val="Tahoma"/>
        <family val="2"/>
      </rPr>
      <t>nter your weekly need of one-way trays</t>
    </r>
    <r>
      <rPr>
        <sz val="11"/>
        <color theme="1"/>
        <rFont val="Tahoma"/>
        <family val="2"/>
      </rPr>
      <t xml:space="preserve">, the quantity of </t>
    </r>
    <r>
      <rPr>
        <b/>
        <sz val="11"/>
        <color theme="1"/>
        <rFont val="Tahoma"/>
        <family val="2"/>
      </rPr>
      <t>EPT trays you intend to hire</t>
    </r>
    <r>
      <rPr>
        <sz val="11"/>
        <color theme="1"/>
        <rFont val="Tahoma"/>
        <family val="2"/>
      </rPr>
      <t xml:space="preserve"> and the</t>
    </r>
    <r>
      <rPr>
        <b/>
        <sz val="11"/>
        <color theme="1"/>
        <rFont val="Tahoma"/>
        <family val="2"/>
      </rPr>
      <t xml:space="preserve"> estimated return time </t>
    </r>
    <r>
      <rPr>
        <sz val="11"/>
        <color theme="1"/>
        <rFont val="Tahoma"/>
        <family val="2"/>
      </rPr>
      <t>of the trays (yellow fields).</t>
    </r>
  </si>
  <si>
    <t>If your EPT quantity and expected rotation time does not cover your total tray need per year, additional one-way packaging need is automatically calculated.</t>
  </si>
  <si>
    <t xml:space="preserve">In the following section you can get an indication of your hire costs for EPT trays compared to your costs for one way packaging. </t>
  </si>
  <si>
    <r>
      <t xml:space="preserve">Choose your referred </t>
    </r>
    <r>
      <rPr>
        <b/>
        <sz val="11"/>
        <color theme="1"/>
        <rFont val="Tahoma"/>
        <family val="2"/>
      </rPr>
      <t xml:space="preserve">hire model </t>
    </r>
    <r>
      <rPr>
        <sz val="11"/>
        <color theme="1"/>
        <rFont val="Tahoma"/>
        <family val="2"/>
      </rPr>
      <t xml:space="preserve">and the </t>
    </r>
    <r>
      <rPr>
        <b/>
        <sz val="11"/>
        <color theme="1"/>
        <rFont val="Tahoma"/>
        <family val="2"/>
      </rPr>
      <t>trays format</t>
    </r>
    <r>
      <rPr>
        <sz val="11"/>
        <color theme="1"/>
        <rFont val="Tahoma"/>
        <family val="2"/>
      </rPr>
      <t xml:space="preserve"> you use from the drop down menu and enter today's cost for your one way packaging tray.</t>
    </r>
  </si>
  <si>
    <t>On the top right, you can see your environmental impact on creating plastic waste as well as indicated saving on costs for your packaging!</t>
  </si>
  <si>
    <t>NB:</t>
  </si>
  <si>
    <t xml:space="preserve">Change e.g. the rotation time and see the effect on items used. You can use this simulation also to start a discussion with your </t>
  </si>
  <si>
    <t xml:space="preserve">colleagues and business partners to see how rotation time can be kept as short as possible to avoid costs for additional </t>
  </si>
  <si>
    <t xml:space="preserve">one way packaging, storage etc. </t>
  </si>
  <si>
    <t>You can also use different hire models to see the financial impact of your choices!</t>
  </si>
  <si>
    <t>When do you start to maximise waste reduction?</t>
  </si>
  <si>
    <t>Contact us for further information and to discuss how you can live sustainability with the reusable plant packaging standard EPT!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</si>
</sst>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\ #,##0\ &quot;kg&quot;"/>
    <numFmt numFmtId="166" formatCode="_-* #,##0.00\ [$€-407]_-;\-* #,##0.00\ [$€-407]_-;_-* &quot;-&quot;??\ [$€-407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0.5"/>
      <color theme="1"/>
      <name val="Tahoma"/>
      <family val="2"/>
    </font>
    <font>
      <b/>
      <sz val="10.5"/>
      <color theme="0"/>
      <name val="Tahoma"/>
      <family val="2"/>
    </font>
    <font>
      <sz val="10.5"/>
      <name val="Tahom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14232"/>
        <bgColor indexed="64"/>
      </patternFill>
    </fill>
    <fill>
      <patternFill patternType="solid">
        <fgColor rgb="FFFFF17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1" fontId="0" fillId="0" borderId="0" xfId="0" applyNumberFormat="1"/>
    <xf numFmtId="3" fontId="0" fillId="2" borderId="0" xfId="0" applyNumberFormat="1" applyFill="1"/>
    <xf numFmtId="164" fontId="0" fillId="0" borderId="0" xfId="1" applyNumberFormat="1" applyFont="1"/>
    <xf numFmtId="3" fontId="0" fillId="3" borderId="0" xfId="0" applyNumberFormat="1" applyFill="1"/>
    <xf numFmtId="0" fontId="0" fillId="3" borderId="0" xfId="0" applyFill="1"/>
    <xf numFmtId="164" fontId="0" fillId="3" borderId="0" xfId="1" applyNumberFormat="1" applyFont="1" applyFill="1"/>
    <xf numFmtId="2" fontId="0" fillId="3" borderId="0" xfId="0" applyNumberFormat="1" applyFill="1"/>
    <xf numFmtId="0" fontId="4" fillId="0" borderId="0" xfId="0" applyFont="1"/>
    <xf numFmtId="0" fontId="5" fillId="5" borderId="0" xfId="0" applyFont="1" applyFill="1"/>
    <xf numFmtId="0" fontId="5" fillId="0" borderId="0" xfId="0" applyFont="1"/>
    <xf numFmtId="3" fontId="5" fillId="4" borderId="10" xfId="0" applyNumberFormat="1" applyFont="1" applyFill="1" applyBorder="1" applyAlignment="1">
      <alignment vertical="center"/>
    </xf>
    <xf numFmtId="3" fontId="5" fillId="4" borderId="12" xfId="0" applyNumberFormat="1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5" fillId="4" borderId="17" xfId="0" applyNumberFormat="1" applyFont="1" applyFill="1" applyBorder="1" applyAlignment="1">
      <alignment vertical="center"/>
    </xf>
    <xf numFmtId="164" fontId="5" fillId="0" borderId="11" xfId="1" applyNumberFormat="1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6" fillId="5" borderId="0" xfId="0" applyFont="1" applyFill="1"/>
    <xf numFmtId="165" fontId="6" fillId="5" borderId="0" xfId="0" applyNumberFormat="1" applyFont="1" applyFill="1"/>
    <xf numFmtId="164" fontId="5" fillId="0" borderId="15" xfId="1" applyNumberFormat="1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5" fillId="6" borderId="14" xfId="0" applyNumberFormat="1" applyFont="1" applyFill="1" applyBorder="1" applyAlignment="1" applyProtection="1">
      <alignment vertical="center"/>
      <protection locked="0"/>
    </xf>
    <xf numFmtId="0" fontId="5" fillId="4" borderId="19" xfId="0" applyFont="1" applyFill="1" applyBorder="1" applyAlignment="1">
      <alignment vertical="center" wrapText="1"/>
    </xf>
    <xf numFmtId="3" fontId="5" fillId="6" borderId="17" xfId="0" applyNumberFormat="1" applyFont="1" applyFill="1" applyBorder="1" applyAlignment="1" applyProtection="1">
      <alignment vertical="center"/>
      <protection locked="0"/>
    </xf>
    <xf numFmtId="3" fontId="7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/>
    </xf>
    <xf numFmtId="3" fontId="5" fillId="4" borderId="8" xfId="0" applyNumberFormat="1" applyFont="1" applyFill="1" applyBorder="1" applyAlignment="1">
      <alignment vertical="center"/>
    </xf>
    <xf numFmtId="3" fontId="5" fillId="4" borderId="7" xfId="0" applyNumberFormat="1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3" fontId="5" fillId="4" borderId="9" xfId="0" applyNumberFormat="1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5" fillId="4" borderId="5" xfId="0" applyNumberFormat="1" applyFont="1" applyFill="1" applyBorder="1" applyAlignment="1">
      <alignment vertical="center"/>
    </xf>
    <xf numFmtId="2" fontId="5" fillId="0" borderId="2" xfId="0" applyNumberFormat="1" applyFont="1" applyBorder="1" applyAlignment="1">
      <alignment horizontal="center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0" fillId="0" borderId="0" xfId="0" applyAlignment="1">
      <alignment wrapText="1"/>
    </xf>
    <xf numFmtId="2" fontId="0" fillId="0" borderId="0" xfId="0" applyNumberFormat="1"/>
    <xf numFmtId="166" fontId="5" fillId="6" borderId="0" xfId="0" applyNumberFormat="1" applyFont="1" applyFill="1" applyAlignment="1">
      <alignment vertical="center"/>
    </xf>
    <xf numFmtId="2" fontId="5" fillId="5" borderId="3" xfId="0" applyNumberFormat="1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166" fontId="0" fillId="0" borderId="0" xfId="0" applyNumberFormat="1"/>
    <xf numFmtId="166" fontId="6" fillId="5" borderId="0" xfId="0" applyNumberFormat="1" applyFont="1" applyFill="1"/>
    <xf numFmtId="166" fontId="5" fillId="5" borderId="0" xfId="0" applyNumberFormat="1" applyFont="1" applyFill="1" applyAlignment="1">
      <alignment vertical="center"/>
    </xf>
    <xf numFmtId="3" fontId="5" fillId="6" borderId="13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/>
    </xf>
    <xf numFmtId="0" fontId="5" fillId="4" borderId="11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3" fontId="5" fillId="6" borderId="20" xfId="0" applyNumberFormat="1" applyFont="1" applyFill="1" applyBorder="1" applyAlignment="1">
      <alignment horizontal="center" vertical="center"/>
    </xf>
    <xf numFmtId="3" fontId="5" fillId="6" borderId="13" xfId="0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5" borderId="0" xfId="0" applyFont="1" applyFill="1" applyAlignment="1"/>
    <xf numFmtId="0" fontId="3" fillId="0" borderId="0" xfId="0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114232"/>
      <color rgb="FFFFF178"/>
      <color rgb="FFFFFF99"/>
      <color rgb="FF87C3E5"/>
      <color rgb="FF990033"/>
      <color rgb="FFC15D5D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'Quantity planning'!$E$11</c:f>
              <c:strCache>
                <c:ptCount val="1"/>
                <c:pt idx="0">
                  <c:v>Week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'Quantity planning'!$E$12:$E$63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B-4099-B336-C3A9DEF03A49}"/>
            </c:ext>
          </c:extLst>
        </c:ser>
        <c:ser>
          <c:idx val="2"/>
          <c:order val="1"/>
          <c:tx>
            <c:strRef>
              <c:f>'Quantity planning'!$G$11</c:f>
              <c:strCache>
                <c:ptCount val="1"/>
                <c:pt idx="0">
                  <c:v>Quantity EPT</c:v>
                </c:pt>
              </c:strCache>
            </c:strRef>
          </c:tx>
          <c:spPr>
            <a:solidFill>
              <a:srgbClr val="114232"/>
            </a:solidFill>
            <a:ln>
              <a:noFill/>
            </a:ln>
            <a:effectLst/>
          </c:spPr>
          <c:invertIfNegative val="0"/>
          <c:val>
            <c:numRef>
              <c:f>'Quantity planning'!$G$12:$G$63</c:f>
              <c:numCache>
                <c:formatCode>#,##0</c:formatCode>
                <c:ptCount val="52"/>
                <c:pt idx="0">
                  <c:v>20000</c:v>
                </c:pt>
                <c:pt idx="1">
                  <c:v>25000</c:v>
                </c:pt>
                <c:pt idx="2">
                  <c:v>20000</c:v>
                </c:pt>
                <c:pt idx="3">
                  <c:v>25000</c:v>
                </c:pt>
                <c:pt idx="4">
                  <c:v>35000</c:v>
                </c:pt>
                <c:pt idx="5">
                  <c:v>30000</c:v>
                </c:pt>
                <c:pt idx="6">
                  <c:v>30000</c:v>
                </c:pt>
                <c:pt idx="7">
                  <c:v>45000</c:v>
                </c:pt>
                <c:pt idx="8">
                  <c:v>40000</c:v>
                </c:pt>
                <c:pt idx="9">
                  <c:v>120000</c:v>
                </c:pt>
                <c:pt idx="10">
                  <c:v>110000</c:v>
                </c:pt>
                <c:pt idx="11">
                  <c:v>0</c:v>
                </c:pt>
                <c:pt idx="12">
                  <c:v>20000</c:v>
                </c:pt>
                <c:pt idx="13">
                  <c:v>25000</c:v>
                </c:pt>
                <c:pt idx="14">
                  <c:v>20000</c:v>
                </c:pt>
                <c:pt idx="15">
                  <c:v>25000</c:v>
                </c:pt>
                <c:pt idx="16">
                  <c:v>35000</c:v>
                </c:pt>
                <c:pt idx="17">
                  <c:v>30000</c:v>
                </c:pt>
                <c:pt idx="18">
                  <c:v>30000</c:v>
                </c:pt>
                <c:pt idx="19">
                  <c:v>45000</c:v>
                </c:pt>
                <c:pt idx="20">
                  <c:v>40000</c:v>
                </c:pt>
                <c:pt idx="21">
                  <c:v>120000</c:v>
                </c:pt>
                <c:pt idx="22">
                  <c:v>110000</c:v>
                </c:pt>
                <c:pt idx="23">
                  <c:v>0</c:v>
                </c:pt>
                <c:pt idx="24">
                  <c:v>20000</c:v>
                </c:pt>
                <c:pt idx="25">
                  <c:v>25000</c:v>
                </c:pt>
                <c:pt idx="26">
                  <c:v>20000</c:v>
                </c:pt>
                <c:pt idx="27">
                  <c:v>25000</c:v>
                </c:pt>
                <c:pt idx="28">
                  <c:v>35000</c:v>
                </c:pt>
                <c:pt idx="29">
                  <c:v>30000</c:v>
                </c:pt>
                <c:pt idx="30">
                  <c:v>30000</c:v>
                </c:pt>
                <c:pt idx="31">
                  <c:v>45000</c:v>
                </c:pt>
                <c:pt idx="32">
                  <c:v>40000</c:v>
                </c:pt>
                <c:pt idx="33">
                  <c:v>65000</c:v>
                </c:pt>
                <c:pt idx="34">
                  <c:v>70000</c:v>
                </c:pt>
                <c:pt idx="35">
                  <c:v>70000</c:v>
                </c:pt>
                <c:pt idx="36">
                  <c:v>45000</c:v>
                </c:pt>
                <c:pt idx="37">
                  <c:v>25000</c:v>
                </c:pt>
                <c:pt idx="38">
                  <c:v>20000</c:v>
                </c:pt>
                <c:pt idx="39">
                  <c:v>25000</c:v>
                </c:pt>
                <c:pt idx="40">
                  <c:v>35000</c:v>
                </c:pt>
                <c:pt idx="41">
                  <c:v>30000</c:v>
                </c:pt>
                <c:pt idx="42">
                  <c:v>30000</c:v>
                </c:pt>
                <c:pt idx="43">
                  <c:v>40000</c:v>
                </c:pt>
                <c:pt idx="44">
                  <c:v>45000</c:v>
                </c:pt>
                <c:pt idx="45">
                  <c:v>35000</c:v>
                </c:pt>
                <c:pt idx="46">
                  <c:v>35000</c:v>
                </c:pt>
                <c:pt idx="47">
                  <c:v>35000</c:v>
                </c:pt>
                <c:pt idx="48">
                  <c:v>30000</c:v>
                </c:pt>
                <c:pt idx="49">
                  <c:v>30000</c:v>
                </c:pt>
                <c:pt idx="50">
                  <c:v>25000</c:v>
                </c:pt>
                <c:pt idx="51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3B-4099-B336-C3A9DEF03A49}"/>
            </c:ext>
          </c:extLst>
        </c:ser>
        <c:ser>
          <c:idx val="1"/>
          <c:order val="2"/>
          <c:tx>
            <c:strRef>
              <c:f>'Quantity planning'!$F$11</c:f>
              <c:strCache>
                <c:ptCount val="1"/>
                <c:pt idx="0">
                  <c:v>Quantity Oneway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'Quantity planning'!$F$12:$F$63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40000</c:v>
                </c:pt>
                <c:pt idx="11">
                  <c:v>150000</c:v>
                </c:pt>
                <c:pt idx="12">
                  <c:v>130000</c:v>
                </c:pt>
                <c:pt idx="13">
                  <c:v>155000</c:v>
                </c:pt>
                <c:pt idx="14">
                  <c:v>170000</c:v>
                </c:pt>
                <c:pt idx="15">
                  <c:v>155000</c:v>
                </c:pt>
                <c:pt idx="16">
                  <c:v>145000</c:v>
                </c:pt>
                <c:pt idx="17">
                  <c:v>170000</c:v>
                </c:pt>
                <c:pt idx="18">
                  <c:v>170000</c:v>
                </c:pt>
                <c:pt idx="19">
                  <c:v>155000</c:v>
                </c:pt>
                <c:pt idx="20">
                  <c:v>90000</c:v>
                </c:pt>
                <c:pt idx="21">
                  <c:v>10000</c:v>
                </c:pt>
                <c:pt idx="22">
                  <c:v>20000</c:v>
                </c:pt>
                <c:pt idx="23">
                  <c:v>100000</c:v>
                </c:pt>
                <c:pt idx="24">
                  <c:v>50000</c:v>
                </c:pt>
                <c:pt idx="25">
                  <c:v>45000</c:v>
                </c:pt>
                <c:pt idx="26">
                  <c:v>50000</c:v>
                </c:pt>
                <c:pt idx="27">
                  <c:v>35000</c:v>
                </c:pt>
                <c:pt idx="28">
                  <c:v>15000</c:v>
                </c:pt>
                <c:pt idx="29">
                  <c:v>15000</c:v>
                </c:pt>
                <c:pt idx="30">
                  <c:v>15000</c:v>
                </c:pt>
                <c:pt idx="31">
                  <c:v>0</c:v>
                </c:pt>
                <c:pt idx="32">
                  <c:v>25000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30000</c:v>
                </c:pt>
                <c:pt idx="37">
                  <c:v>50000</c:v>
                </c:pt>
                <c:pt idx="38">
                  <c:v>60000</c:v>
                </c:pt>
                <c:pt idx="39">
                  <c:v>65000</c:v>
                </c:pt>
                <c:pt idx="40">
                  <c:v>55000</c:v>
                </c:pt>
                <c:pt idx="41">
                  <c:v>60000</c:v>
                </c:pt>
                <c:pt idx="42">
                  <c:v>50000</c:v>
                </c:pt>
                <c:pt idx="43">
                  <c:v>0</c:v>
                </c:pt>
                <c:pt idx="44">
                  <c:v>5000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B-4099-B336-C3A9DEF03A49}"/>
            </c:ext>
          </c:extLst>
        </c:ser>
        <c:ser>
          <c:idx val="3"/>
          <c:order val="3"/>
          <c:tx>
            <c:strRef>
              <c:f>'Quantity planning'!$J$11</c:f>
              <c:strCache>
                <c:ptCount val="1"/>
                <c:pt idx="0">
                  <c:v>Stock at the end of the week</c:v>
                </c:pt>
              </c:strCache>
            </c:strRef>
          </c:tx>
          <c:spPr>
            <a:solidFill>
              <a:srgbClr val="87C3E5">
                <a:alpha val="89804"/>
              </a:srgbClr>
            </a:solidFill>
            <a:ln>
              <a:noFill/>
            </a:ln>
            <a:effectLst/>
          </c:spPr>
          <c:invertIfNegative val="0"/>
          <c:val>
            <c:numRef>
              <c:f>'Quantity planning'!$J$12:$J$63</c:f>
              <c:numCache>
                <c:formatCode>#,##0</c:formatCode>
                <c:ptCount val="52"/>
                <c:pt idx="0">
                  <c:v>480000</c:v>
                </c:pt>
                <c:pt idx="1">
                  <c:v>455000</c:v>
                </c:pt>
                <c:pt idx="2">
                  <c:v>435000</c:v>
                </c:pt>
                <c:pt idx="3">
                  <c:v>410000</c:v>
                </c:pt>
                <c:pt idx="4">
                  <c:v>375000</c:v>
                </c:pt>
                <c:pt idx="5">
                  <c:v>345000</c:v>
                </c:pt>
                <c:pt idx="6">
                  <c:v>315000</c:v>
                </c:pt>
                <c:pt idx="7">
                  <c:v>270000</c:v>
                </c:pt>
                <c:pt idx="8">
                  <c:v>230000</c:v>
                </c:pt>
                <c:pt idx="9">
                  <c:v>110000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55000</c:v>
                </c:pt>
                <c:pt idx="34">
                  <c:v>95000</c:v>
                </c:pt>
                <c:pt idx="35">
                  <c:v>25000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5000</c:v>
                </c:pt>
                <c:pt idx="44">
                  <c:v>0</c:v>
                </c:pt>
                <c:pt idx="45">
                  <c:v>30000</c:v>
                </c:pt>
                <c:pt idx="46">
                  <c:v>65000</c:v>
                </c:pt>
                <c:pt idx="47">
                  <c:v>100000</c:v>
                </c:pt>
                <c:pt idx="48">
                  <c:v>115000</c:v>
                </c:pt>
                <c:pt idx="49">
                  <c:v>110000</c:v>
                </c:pt>
                <c:pt idx="50">
                  <c:v>105000</c:v>
                </c:pt>
                <c:pt idx="51">
                  <c:v>115000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A-467B-94D6-7D3D071BD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0447712"/>
        <c:axId val="550444432"/>
      </c:barChart>
      <c:catAx>
        <c:axId val="550447712"/>
        <c:scaling>
          <c:orientation val="maxMin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n-US"/>
          </a:p>
        </c:txPr>
        <c:crossAx val="550444432"/>
        <c:crosses val="autoZero"/>
        <c:auto val="1"/>
        <c:lblAlgn val="ctr"/>
        <c:lblOffset val="100"/>
        <c:noMultiLvlLbl val="0"/>
      </c:catAx>
      <c:valAx>
        <c:axId val="5504444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+mn-ea"/>
                <a:cs typeface="+mn-cs"/>
              </a:defRPr>
            </a:pPr>
            <a:endParaRPr lang="en-US"/>
          </a:p>
        </c:txPr>
        <c:crossAx val="55044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71437</xdr:colOff>
      <xdr:row>10</xdr:row>
      <xdr:rowOff>4761</xdr:rowOff>
    </xdr:from>
    <xdr:to>
      <xdr:col>18</xdr:col>
      <xdr:colOff>709612</xdr:colOff>
      <xdr:row>65</xdr:row>
      <xdr:rowOff>85725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2EAD222-0E4D-CA93-E99A-99FD5F78A8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219075</xdr:colOff>
      <xdr:row>29</xdr:row>
      <xdr:rowOff>95250</xdr:rowOff>
    </xdr:from>
    <xdr:to>
      <xdr:col>28</xdr:col>
      <xdr:colOff>571500</xdr:colOff>
      <xdr:row>32</xdr:row>
      <xdr:rowOff>85725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24DEB98-59A8-A225-66EF-2AD0F7DDD711}"/>
            </a:ext>
          </a:extLst>
        </xdr:cNvPr>
        <xdr:cNvSpPr txBox="1"/>
      </xdr:nvSpPr>
      <xdr:spPr>
        <a:xfrm>
          <a:off x="19126200" y="4857750"/>
          <a:ext cx="263842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Gärtner muss Miete ab</a:t>
          </a:r>
          <a:r>
            <a:rPr lang="de-DE" sz="1100" baseline="0"/>
            <a:t> bestimmten Zeitpunkt Miete zahlen</a:t>
          </a:r>
        </a:p>
      </xdr:txBody>
    </xdr:sp>
    <xdr:clientData/>
  </xdr:twoCellAnchor>
  <xdr:twoCellAnchor editAs="oneCell">
    <xdr:from>
      <xdr:col>17</xdr:col>
      <xdr:colOff>80961</xdr:colOff>
      <xdr:row>0</xdr:row>
      <xdr:rowOff>105036</xdr:rowOff>
    </xdr:from>
    <xdr:to>
      <xdr:col>19</xdr:col>
      <xdr:colOff>128587</xdr:colOff>
      <xdr:row>6</xdr:row>
      <xdr:rowOff>54271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92A0774-7FA8-5D22-6250-FC5A39A24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2849" y="105036"/>
          <a:ext cx="1657351" cy="10493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6</xdr:row>
      <xdr:rowOff>114300</xdr:rowOff>
    </xdr:from>
    <xdr:to>
      <xdr:col>13</xdr:col>
      <xdr:colOff>495300</xdr:colOff>
      <xdr:row>21</xdr:row>
      <xdr:rowOff>19050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8DC9790-9CF2-430C-94B4-CDADD3D73D5F}"/>
            </a:ext>
          </a:extLst>
        </xdr:cNvPr>
        <xdr:cNvSpPr txBox="1"/>
      </xdr:nvSpPr>
      <xdr:spPr>
        <a:xfrm>
          <a:off x="7896225" y="1257300"/>
          <a:ext cx="3219450" cy="276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Formel</a:t>
          </a:r>
          <a:r>
            <a:rPr lang="de-DE" sz="1100" baseline="0"/>
            <a:t> stimmt noch nicht ganz, da die max Drehzahl nur 52/7 sein kann. Hier kommt 8 raus.</a:t>
          </a:r>
        </a:p>
        <a:p>
          <a:endParaRPr lang="de-DE" sz="1100" baseline="0"/>
        </a:p>
        <a:p>
          <a:r>
            <a:rPr lang="de-DE" sz="1100"/>
            <a:t>Bitte noch ein Grafik bauen.</a:t>
          </a:r>
        </a:p>
        <a:p>
          <a:endParaRPr lang="de-DE" sz="1100"/>
        </a:p>
        <a:p>
          <a:r>
            <a:rPr lang="de-DE" sz="1100"/>
            <a:t>Ansatz mit der</a:t>
          </a:r>
          <a:r>
            <a:rPr lang="de-DE" sz="1100" baseline="0"/>
            <a:t> Menge als Variabel anzufangen anstatt der % Quote finde ich auch gut.</a:t>
          </a:r>
          <a:endParaRPr lang="de-DE" sz="1100"/>
        </a:p>
        <a:p>
          <a:endParaRPr lang="de-DE" sz="1100"/>
        </a:p>
        <a:p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6</xdr:row>
      <xdr:rowOff>114300</xdr:rowOff>
    </xdr:from>
    <xdr:to>
      <xdr:col>13</xdr:col>
      <xdr:colOff>495300</xdr:colOff>
      <xdr:row>21</xdr:row>
      <xdr:rowOff>19050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B40F220-4F6B-497D-A836-70BB3C4EF12B}"/>
            </a:ext>
          </a:extLst>
        </xdr:cNvPr>
        <xdr:cNvSpPr txBox="1"/>
      </xdr:nvSpPr>
      <xdr:spPr>
        <a:xfrm>
          <a:off x="7896225" y="1257300"/>
          <a:ext cx="3219450" cy="276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Formel</a:t>
          </a:r>
          <a:r>
            <a:rPr lang="de-DE" sz="1100" baseline="0"/>
            <a:t> stimmt noch nicht ganz, da die max Drehzahl nur 52/7 sein kann. Hier kommt 8 raus.</a:t>
          </a:r>
        </a:p>
        <a:p>
          <a:endParaRPr lang="de-DE" sz="1100" baseline="0"/>
        </a:p>
        <a:p>
          <a:r>
            <a:rPr lang="de-DE" sz="1100"/>
            <a:t>Bitte noch ein Grafik bauen.</a:t>
          </a:r>
        </a:p>
        <a:p>
          <a:endParaRPr lang="de-DE" sz="1100"/>
        </a:p>
        <a:p>
          <a:r>
            <a:rPr lang="de-DE" sz="1100"/>
            <a:t>Ansatz mit der</a:t>
          </a:r>
          <a:r>
            <a:rPr lang="de-DE" sz="1100" baseline="0"/>
            <a:t> Menge als Variabel anzufangen anstatt der % Quote finde ich auch gut.</a:t>
          </a:r>
          <a:endParaRPr lang="de-DE" sz="1100"/>
        </a:p>
        <a:p>
          <a:endParaRPr lang="de-DE" sz="1100"/>
        </a:p>
        <a:p>
          <a:endParaRPr lang="de-D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6</xdr:row>
      <xdr:rowOff>114300</xdr:rowOff>
    </xdr:from>
    <xdr:to>
      <xdr:col>13</xdr:col>
      <xdr:colOff>495300</xdr:colOff>
      <xdr:row>21</xdr:row>
      <xdr:rowOff>19050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7E3CAC8F-3D61-454E-A526-FED59F7C06B2}"/>
            </a:ext>
          </a:extLst>
        </xdr:cNvPr>
        <xdr:cNvSpPr txBox="1"/>
      </xdr:nvSpPr>
      <xdr:spPr>
        <a:xfrm>
          <a:off x="7896225" y="1447800"/>
          <a:ext cx="3219450" cy="276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Formel</a:t>
          </a:r>
          <a:r>
            <a:rPr lang="de-DE" sz="1100" baseline="0"/>
            <a:t> stimmt noch nicht ganz, da die max Drehzahl nur 52/7 sein kann. Hier kommt 8 raus.</a:t>
          </a:r>
        </a:p>
        <a:p>
          <a:endParaRPr lang="de-DE" sz="1100" baseline="0"/>
        </a:p>
        <a:p>
          <a:r>
            <a:rPr lang="de-DE" sz="1100"/>
            <a:t>Bitte noch ein Grafik bauen.</a:t>
          </a:r>
        </a:p>
        <a:p>
          <a:endParaRPr lang="de-DE" sz="1100"/>
        </a:p>
        <a:p>
          <a:r>
            <a:rPr lang="de-DE" sz="1100"/>
            <a:t>Ansatz mit der</a:t>
          </a:r>
          <a:r>
            <a:rPr lang="de-DE" sz="1100" baseline="0"/>
            <a:t> Menge als Variabel anzufangen anstatt der % Quote finde ich auch gut.</a:t>
          </a:r>
          <a:endParaRPr lang="de-DE" sz="1100"/>
        </a:p>
        <a:p>
          <a:endParaRPr lang="de-DE" sz="1100"/>
        </a:p>
        <a:p>
          <a:endParaRPr lang="de-D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6</xdr:row>
      <xdr:rowOff>114300</xdr:rowOff>
    </xdr:from>
    <xdr:to>
      <xdr:col>13</xdr:col>
      <xdr:colOff>495300</xdr:colOff>
      <xdr:row>21</xdr:row>
      <xdr:rowOff>19050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14E0223-5003-2049-C7DC-9203D61B75C2}"/>
            </a:ext>
          </a:extLst>
        </xdr:cNvPr>
        <xdr:cNvSpPr txBox="1"/>
      </xdr:nvSpPr>
      <xdr:spPr>
        <a:xfrm>
          <a:off x="6867525" y="1257300"/>
          <a:ext cx="3219450" cy="276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Formel</a:t>
          </a:r>
          <a:r>
            <a:rPr lang="de-DE" sz="1100" baseline="0"/>
            <a:t> stimmt noch nicht ganz, da die max Drehzahl nur 52/7 sein kann. Hier kommt 8 raus.</a:t>
          </a:r>
        </a:p>
        <a:p>
          <a:endParaRPr lang="de-DE" sz="1100" baseline="0"/>
        </a:p>
        <a:p>
          <a:r>
            <a:rPr lang="de-DE" sz="1100"/>
            <a:t>Bitte noch ein Grafik bauen.</a:t>
          </a:r>
        </a:p>
        <a:p>
          <a:endParaRPr lang="de-DE" sz="1100"/>
        </a:p>
        <a:p>
          <a:r>
            <a:rPr lang="de-DE" sz="1100"/>
            <a:t>Ansatz mit der</a:t>
          </a:r>
          <a:r>
            <a:rPr lang="de-DE" sz="1100" baseline="0"/>
            <a:t> Menge als Variabel anzufangen anstatt der % Quote finde ich auch gut.</a:t>
          </a:r>
          <a:endParaRPr lang="de-DE" sz="1100"/>
        </a:p>
        <a:p>
          <a:endParaRPr lang="de-DE" sz="1100"/>
        </a:p>
        <a:p>
          <a:endParaRPr lang="de-DE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lora Spaeth" id="{F1B3AB91-CDDD-44F2-B03C-ED2A26963557}" userId="15f9547655c58a2f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" dT="2023-10-17T14:58:48.19" personId="{F1B3AB91-CDDD-44F2-B03C-ED2A26963557}" id="{0C91EB32-B981-4D19-A6DC-E5D80B0EB68E}">
    <text>The hire quantity of EPT trays will automatically calculate how many additional oneway trays you will need considering the rotation time of EPTs and your overall need per week</text>
  </threadedComment>
</ThreadedComments>
</file>

<file path=xl/worksheets/_rels/sheet2.xml.rels><?xml version="1.0" encoding="UTF-8" standalone="yes"?>
<Relationships xmlns="http://schemas.openxmlformats.org/package/2006/relationships"><Relationship Id="rId8" Type="http://schemas.microsoft.com/office/2017/10/relationships/threadedComment" Target="../threadedComments/threadedComment1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8ECEE-73A6-4D62-9663-F9C883401044}">
  <dimension ref="A1:A19"/>
  <sheetViews>
    <sheetView tabSelected="1" workbookViewId="0">
      <selection activeCell="N16" sqref="N16"/>
    </sheetView>
  </sheetViews>
  <sheetFormatPr defaultColWidth="9" defaultRowHeight="13.5" x14ac:dyDescent="0.35"/>
  <cols>
    <col min="1" max="16384" width="9" style="11"/>
  </cols>
  <sheetData>
    <row r="1" spans="1:1" x14ac:dyDescent="0.35">
      <c r="A1" s="11" t="s">
        <v>48</v>
      </c>
    </row>
    <row r="2" spans="1:1" x14ac:dyDescent="0.35">
      <c r="A2" s="11" t="s">
        <v>49</v>
      </c>
    </row>
    <row r="3" spans="1:1" x14ac:dyDescent="0.35">
      <c r="A3" s="11" t="s">
        <v>50</v>
      </c>
    </row>
    <row r="5" spans="1:1" x14ac:dyDescent="0.35">
      <c r="A5" s="11" t="s">
        <v>51</v>
      </c>
    </row>
    <row r="6" spans="1:1" x14ac:dyDescent="0.35">
      <c r="A6" s="11" t="s">
        <v>52</v>
      </c>
    </row>
    <row r="8" spans="1:1" x14ac:dyDescent="0.35">
      <c r="A8" s="11" t="s">
        <v>53</v>
      </c>
    </row>
    <row r="9" spans="1:1" x14ac:dyDescent="0.35">
      <c r="A9" s="11" t="s">
        <v>5</v>
      </c>
    </row>
    <row r="10" spans="1:1" x14ac:dyDescent="0.35">
      <c r="A10" s="11" t="s">
        <v>54</v>
      </c>
    </row>
    <row r="11" spans="1:1" x14ac:dyDescent="0.35">
      <c r="A11" s="11" t="s">
        <v>0</v>
      </c>
    </row>
    <row r="12" spans="1:1" x14ac:dyDescent="0.35">
      <c r="A12" s="11" t="s">
        <v>55</v>
      </c>
    </row>
    <row r="13" spans="1:1" x14ac:dyDescent="0.35">
      <c r="A13" s="11" t="s">
        <v>56</v>
      </c>
    </row>
    <row r="14" spans="1:1" x14ac:dyDescent="0.35">
      <c r="A14" s="11" t="s">
        <v>57</v>
      </c>
    </row>
    <row r="15" spans="1:1" x14ac:dyDescent="0.35">
      <c r="A15" s="11" t="s">
        <v>58</v>
      </c>
    </row>
    <row r="17" spans="1:1" x14ac:dyDescent="0.35">
      <c r="A17" s="68" t="s">
        <v>59</v>
      </c>
    </row>
    <row r="19" spans="1:1" x14ac:dyDescent="0.35">
      <c r="A19" s="11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0BCDC-DC80-4562-9C0A-61828594BDFE}">
  <sheetPr>
    <pageSetUpPr fitToPage="1"/>
  </sheetPr>
  <dimension ref="D1:Z68"/>
  <sheetViews>
    <sheetView topLeftCell="B1" zoomScaleNormal="100" workbookViewId="0">
      <selection activeCell="D5" sqref="D5:E5"/>
    </sheetView>
  </sheetViews>
  <sheetFormatPr defaultColWidth="11.265625" defaultRowHeight="13.15" x14ac:dyDescent="0.35"/>
  <cols>
    <col min="1" max="1" width="11.265625" style="13"/>
    <col min="2" max="2" width="22.19921875" style="13" customWidth="1"/>
    <col min="3" max="3" width="11.265625" style="13"/>
    <col min="4" max="4" width="16.6640625" style="13" customWidth="1"/>
    <col min="5" max="5" width="6" style="13" customWidth="1"/>
    <col min="6" max="6" width="11.265625" style="13" customWidth="1"/>
    <col min="7" max="7" width="11.265625" style="13" bestFit="1" customWidth="1"/>
    <col min="8" max="8" width="13.06640625" style="13" customWidth="1"/>
    <col min="9" max="9" width="12.73046875" style="13" customWidth="1"/>
    <col min="10" max="10" width="13" style="13" customWidth="1"/>
    <col min="11" max="11" width="3.265625" style="13" customWidth="1"/>
    <col min="12" max="13" width="11.265625" style="13" customWidth="1"/>
    <col min="14" max="14" width="16.19921875" style="13" customWidth="1"/>
    <col min="15" max="15" width="9.6640625" style="13" customWidth="1"/>
    <col min="16" max="16" width="20.796875" style="13" customWidth="1"/>
    <col min="17" max="19" width="11.265625" style="13" customWidth="1"/>
    <col min="20" max="20" width="3.265625" style="13" customWidth="1"/>
    <col min="21" max="16384" width="11.265625" style="13"/>
  </cols>
  <sheetData>
    <row r="1" spans="4:26" ht="13.5" customHeight="1" x14ac:dyDescent="0.35"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4:26" ht="14.75" customHeight="1" x14ac:dyDescent="0.35">
      <c r="D2" s="57" t="s">
        <v>1</v>
      </c>
      <c r="E2" s="61"/>
      <c r="F2" s="14">
        <f>SUM(D12:D63)</f>
        <v>4260000</v>
      </c>
      <c r="G2" s="15"/>
      <c r="H2" s="16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Z2" s="17"/>
    </row>
    <row r="3" spans="4:26" ht="14.75" customHeight="1" x14ac:dyDescent="0.35">
      <c r="D3" s="57" t="s">
        <v>2</v>
      </c>
      <c r="E3" s="58"/>
      <c r="F3" s="18">
        <f>F2-F4</f>
        <v>1975000</v>
      </c>
      <c r="G3" s="19">
        <f>F3/F2</f>
        <v>0.46361502347417838</v>
      </c>
      <c r="H3" s="20" t="s">
        <v>3</v>
      </c>
      <c r="I3" s="12"/>
      <c r="J3" s="21" t="s">
        <v>46</v>
      </c>
      <c r="K3" s="12"/>
      <c r="L3" s="21"/>
      <c r="M3" s="21"/>
      <c r="N3" s="21"/>
      <c r="O3" s="21"/>
      <c r="P3" s="22">
        <f>IF(F8="EPT 400",(F3*0.14),(F3*0.099))</f>
        <v>195525</v>
      </c>
      <c r="Q3" s="12"/>
      <c r="R3" s="12"/>
      <c r="S3" s="12"/>
      <c r="T3" s="12"/>
      <c r="Z3" s="17"/>
    </row>
    <row r="4" spans="4:26" ht="14.75" customHeight="1" x14ac:dyDescent="0.35">
      <c r="D4" s="57" t="s">
        <v>4</v>
      </c>
      <c r="E4" s="58"/>
      <c r="F4" s="18">
        <f>SUM(F12:F63)</f>
        <v>2285000</v>
      </c>
      <c r="G4" s="23">
        <f>F4/F2</f>
        <v>0.53638497652582162</v>
      </c>
      <c r="H4" s="24" t="s">
        <v>3</v>
      </c>
      <c r="I4" s="12"/>
      <c r="J4" s="12"/>
      <c r="K4" s="12"/>
      <c r="L4" s="12"/>
      <c r="M4" s="25" t="s">
        <v>5</v>
      </c>
      <c r="N4" s="12"/>
      <c r="O4" s="12"/>
      <c r="P4" s="12"/>
      <c r="Q4" s="12"/>
      <c r="R4" s="12"/>
      <c r="S4" s="12"/>
      <c r="T4" s="12"/>
      <c r="Z4" s="17"/>
    </row>
    <row r="5" spans="4:26" ht="14.75" customHeight="1" x14ac:dyDescent="0.35">
      <c r="D5" s="57" t="s">
        <v>6</v>
      </c>
      <c r="E5" s="61"/>
      <c r="F5" s="26">
        <v>500000</v>
      </c>
      <c r="G5" s="42">
        <f>F3/F5</f>
        <v>3.95</v>
      </c>
      <c r="H5" s="27" t="s">
        <v>40</v>
      </c>
      <c r="I5" s="12"/>
      <c r="J5" s="67" t="s">
        <v>47</v>
      </c>
      <c r="K5" s="67"/>
      <c r="L5" s="67"/>
      <c r="M5" s="67"/>
      <c r="N5" s="67"/>
      <c r="O5" s="56"/>
      <c r="P5" s="53">
        <f>IF(F8="EPT 400",((_xlfn.XLOOKUP(F7,Sheet1!C1:I1,Sheet1!C12:I12))*F5),((_xlfn.XLOOKUP(F7,Sheet1!C1:I1,Sheet1!C13:I13)*'Quantity planning'!F5)))</f>
        <v>99999.999999999985</v>
      </c>
      <c r="Q5" s="12"/>
      <c r="R5" s="12"/>
      <c r="S5" s="12"/>
      <c r="T5" s="12"/>
      <c r="Z5" s="17"/>
    </row>
    <row r="6" spans="4:26" ht="14.75" customHeight="1" x14ac:dyDescent="0.35">
      <c r="D6" s="62" t="s">
        <v>7</v>
      </c>
      <c r="E6" s="63"/>
      <c r="F6" s="28">
        <v>12</v>
      </c>
      <c r="G6" s="48"/>
      <c r="H6" s="49" t="s">
        <v>5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Z6" s="17"/>
    </row>
    <row r="7" spans="4:26" ht="14.75" customHeight="1" x14ac:dyDescent="0.35">
      <c r="D7" s="57" t="s">
        <v>29</v>
      </c>
      <c r="E7" s="58"/>
      <c r="F7" s="59" t="s">
        <v>37</v>
      </c>
      <c r="G7" s="60"/>
      <c r="H7" s="60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Z7" s="17"/>
    </row>
    <row r="8" spans="4:26" ht="14.75" customHeight="1" x14ac:dyDescent="0.35">
      <c r="D8" s="43" t="s">
        <v>43</v>
      </c>
      <c r="E8" s="43"/>
      <c r="F8" s="55" t="s">
        <v>32</v>
      </c>
      <c r="G8" s="54"/>
      <c r="H8" s="54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Z8" s="17"/>
    </row>
    <row r="9" spans="4:26" ht="14.75" customHeight="1" x14ac:dyDescent="0.35">
      <c r="D9" s="44" t="s">
        <v>45</v>
      </c>
      <c r="E9" s="44"/>
      <c r="F9" s="47">
        <v>0.35</v>
      </c>
      <c r="G9" s="54"/>
      <c r="H9" s="54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Z9" s="17"/>
    </row>
    <row r="10" spans="4:26" ht="18" customHeight="1" x14ac:dyDescent="0.35"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4:26" ht="39.4" x14ac:dyDescent="0.35">
      <c r="D11" s="29" t="s">
        <v>8</v>
      </c>
      <c r="E11" s="30" t="s">
        <v>9</v>
      </c>
      <c r="F11" s="31" t="s">
        <v>10</v>
      </c>
      <c r="G11" s="31" t="s">
        <v>11</v>
      </c>
      <c r="H11" s="31" t="s">
        <v>12</v>
      </c>
      <c r="I11" s="32" t="s">
        <v>13</v>
      </c>
      <c r="J11" s="31" t="s">
        <v>14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4:26" ht="12" customHeight="1" x14ac:dyDescent="0.35">
      <c r="D12" s="26">
        <v>20000</v>
      </c>
      <c r="E12" s="33">
        <v>1</v>
      </c>
      <c r="F12" s="34">
        <f>IF((D12-F5-H12)&lt;0,0,(D12-F5-H12))</f>
        <v>0</v>
      </c>
      <c r="G12" s="35">
        <f t="shared" ref="G12:G43" si="0">D12-F12</f>
        <v>20000</v>
      </c>
      <c r="H12" s="36">
        <v>0</v>
      </c>
      <c r="I12" s="35">
        <f>F5+H12</f>
        <v>500000</v>
      </c>
      <c r="J12" s="35">
        <f t="shared" ref="J12:J43" si="1">I12-D12+F12</f>
        <v>480000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4:26" ht="12" customHeight="1" x14ac:dyDescent="0.35">
      <c r="D13" s="26">
        <v>25000</v>
      </c>
      <c r="E13" s="33">
        <v>2</v>
      </c>
      <c r="F13" s="34">
        <f t="shared" ref="F13:F44" si="2">IF((D13-J12-H13)&lt;0,0,(D13-J12-H13))</f>
        <v>0</v>
      </c>
      <c r="G13" s="35">
        <f t="shared" si="0"/>
        <v>25000</v>
      </c>
      <c r="H13" s="34">
        <f>IF($F$6=1,D12-F12,0)</f>
        <v>0</v>
      </c>
      <c r="I13" s="35">
        <f t="shared" ref="I13:I44" si="3">J12+H13</f>
        <v>480000</v>
      </c>
      <c r="J13" s="35">
        <f t="shared" si="1"/>
        <v>455000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4:26" ht="12" customHeight="1" x14ac:dyDescent="0.35">
      <c r="D14" s="26">
        <v>20000</v>
      </c>
      <c r="E14" s="33">
        <v>3</v>
      </c>
      <c r="F14" s="34">
        <f t="shared" si="2"/>
        <v>0</v>
      </c>
      <c r="G14" s="35">
        <f t="shared" si="0"/>
        <v>20000</v>
      </c>
      <c r="H14" s="34">
        <f>IF($F$6=1,D13-F13,IF($F$6=2,D12-F12,0))</f>
        <v>0</v>
      </c>
      <c r="I14" s="35">
        <f t="shared" si="3"/>
        <v>455000</v>
      </c>
      <c r="J14" s="35">
        <f t="shared" si="1"/>
        <v>435000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4:26" ht="12" customHeight="1" x14ac:dyDescent="0.35">
      <c r="D15" s="26">
        <v>25000</v>
      </c>
      <c r="E15" s="33">
        <v>4</v>
      </c>
      <c r="F15" s="34">
        <f t="shared" si="2"/>
        <v>0</v>
      </c>
      <c r="G15" s="35">
        <f t="shared" si="0"/>
        <v>25000</v>
      </c>
      <c r="H15" s="34">
        <f>IF($F$6=1,D14-F14,IF($F$6=2,D13-F13,IF($F$6=3,D12-F12,0)))</f>
        <v>0</v>
      </c>
      <c r="I15" s="35">
        <f t="shared" si="3"/>
        <v>435000</v>
      </c>
      <c r="J15" s="35">
        <f t="shared" si="1"/>
        <v>410000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4:26" ht="12" customHeight="1" x14ac:dyDescent="0.35">
      <c r="D16" s="26">
        <v>35000</v>
      </c>
      <c r="E16" s="33">
        <v>5</v>
      </c>
      <c r="F16" s="34">
        <f t="shared" si="2"/>
        <v>0</v>
      </c>
      <c r="G16" s="35">
        <f t="shared" si="0"/>
        <v>35000</v>
      </c>
      <c r="H16" s="34">
        <f>IF($F$6=1,D15-F15,IF($F$6=2,D14-F14,IF($F$6=3,D13-F13,IF($F$6=4,D12-F12,0))))</f>
        <v>0</v>
      </c>
      <c r="I16" s="35">
        <f t="shared" si="3"/>
        <v>410000</v>
      </c>
      <c r="J16" s="35">
        <f t="shared" si="1"/>
        <v>375000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4:20" ht="12" customHeight="1" x14ac:dyDescent="0.35">
      <c r="D17" s="26">
        <v>30000</v>
      </c>
      <c r="E17" s="33">
        <v>6</v>
      </c>
      <c r="F17" s="34">
        <f t="shared" si="2"/>
        <v>0</v>
      </c>
      <c r="G17" s="35">
        <f t="shared" si="0"/>
        <v>30000</v>
      </c>
      <c r="H17" s="34">
        <f>IF($F$6=1,D16-F16,IF($F$6=2,D15-F15,IF($F$6=3,D14-F14,IF($F$6=4,D13-F13,IF($F$6=5,D12-F12,0)))))</f>
        <v>0</v>
      </c>
      <c r="I17" s="35">
        <f t="shared" si="3"/>
        <v>375000</v>
      </c>
      <c r="J17" s="35">
        <f t="shared" si="1"/>
        <v>345000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4:20" ht="12" customHeight="1" x14ac:dyDescent="0.35">
      <c r="D18" s="26">
        <v>30000</v>
      </c>
      <c r="E18" s="33">
        <v>7</v>
      </c>
      <c r="F18" s="34">
        <f t="shared" si="2"/>
        <v>0</v>
      </c>
      <c r="G18" s="35">
        <f t="shared" si="0"/>
        <v>30000</v>
      </c>
      <c r="H18" s="34">
        <f>IF($F$6=1,D17-F17,IF($F$6=2,D16-F16,IF($F$6=3,D15-F15,IF($F$6=4,D14-F14,IF($F$6=5,D13-F13,IF($F$6=6,D12-F12,0))))))</f>
        <v>0</v>
      </c>
      <c r="I18" s="35">
        <f t="shared" si="3"/>
        <v>345000</v>
      </c>
      <c r="J18" s="35">
        <f t="shared" si="1"/>
        <v>315000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4:20" ht="12" customHeight="1" x14ac:dyDescent="0.35">
      <c r="D19" s="26">
        <v>45000</v>
      </c>
      <c r="E19" s="33">
        <v>8</v>
      </c>
      <c r="F19" s="34">
        <f t="shared" si="2"/>
        <v>0</v>
      </c>
      <c r="G19" s="35">
        <f t="shared" si="0"/>
        <v>45000</v>
      </c>
      <c r="H19" s="34">
        <f>IF($F$6=1,D18-F18,IF($F$6=2,D17-F17,IF($F$6=3,D16-F16,IF($F$6=4,D15-F15,IF($F$6=5,D14-F14,IF($F$6=6,D13-F13,IF($F$6=7,D12-F12,0)))))))</f>
        <v>0</v>
      </c>
      <c r="I19" s="35">
        <f t="shared" si="3"/>
        <v>315000</v>
      </c>
      <c r="J19" s="37">
        <f t="shared" si="1"/>
        <v>270000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4:20" ht="12" customHeight="1" x14ac:dyDescent="0.35">
      <c r="D20" s="26">
        <v>40000</v>
      </c>
      <c r="E20" s="33">
        <v>9</v>
      </c>
      <c r="F20" s="34">
        <f t="shared" si="2"/>
        <v>0</v>
      </c>
      <c r="G20" s="35">
        <f t="shared" si="0"/>
        <v>40000</v>
      </c>
      <c r="H20" s="34">
        <f>IF($F$6=1,D19-F19,IF($F$6=2,D18-F18,IF($F$6=3,D17-F17,IF($F$6=4,D16-F16,IF($F$6=5,D15-F15,IF($F$6=6,D14-F14,IF($F$6=7,D13-F13,IF($F$6=8,D12-F12,0))))))))</f>
        <v>0</v>
      </c>
      <c r="I20" s="35">
        <f t="shared" si="3"/>
        <v>270000</v>
      </c>
      <c r="J20" s="37">
        <f t="shared" si="1"/>
        <v>230000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4:20" ht="12" customHeight="1" x14ac:dyDescent="0.35">
      <c r="D21" s="26">
        <v>120000</v>
      </c>
      <c r="E21" s="33">
        <v>10</v>
      </c>
      <c r="F21" s="34">
        <f t="shared" si="2"/>
        <v>0</v>
      </c>
      <c r="G21" s="35">
        <f t="shared" si="0"/>
        <v>120000</v>
      </c>
      <c r="H21" s="34">
        <f>IF($F$6=1,D20-F20,IF($F$6=2,D19-F19,IF($F$6=3,D18-F18,IF($F$6=4,D17-F17,IF($F$6=5,D16-F16,IF($F$6=6,D15-F15,IF($F$6=7,D14-F14,IF($F$6=8,D13-F13,IF($F$6=9,D12-F12,0)))))))))</f>
        <v>0</v>
      </c>
      <c r="I21" s="35">
        <f t="shared" si="3"/>
        <v>230000</v>
      </c>
      <c r="J21" s="37">
        <f t="shared" si="1"/>
        <v>110000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4:20" ht="12" customHeight="1" x14ac:dyDescent="0.35">
      <c r="D22" s="26">
        <v>150000</v>
      </c>
      <c r="E22" s="33">
        <v>11</v>
      </c>
      <c r="F22" s="34">
        <f t="shared" si="2"/>
        <v>40000</v>
      </c>
      <c r="G22" s="35">
        <f t="shared" si="0"/>
        <v>110000</v>
      </c>
      <c r="H22" s="34">
        <f>IF($F$6=1,D21-F21,IF($F$6=2,D20-F20,IF($F$6=3,D19-F19,IF($F$6=4,D18-F18,IF($F$6=5,D17-F17,IF($F$6=6,D16-F16,IF($F$6=7,D15-F15,IF($F$6=8,D14-F14,IF($F$6=9,D13-F13,IF($F$6=10,D12-F12,0))))))))))</f>
        <v>0</v>
      </c>
      <c r="I22" s="35">
        <f t="shared" si="3"/>
        <v>110000</v>
      </c>
      <c r="J22" s="37">
        <f t="shared" si="1"/>
        <v>0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4:20" ht="12" customHeight="1" x14ac:dyDescent="0.35">
      <c r="D23" s="26">
        <v>150000</v>
      </c>
      <c r="E23" s="33">
        <v>12</v>
      </c>
      <c r="F23" s="34">
        <f t="shared" si="2"/>
        <v>150000</v>
      </c>
      <c r="G23" s="35">
        <f t="shared" si="0"/>
        <v>0</v>
      </c>
      <c r="H23" s="34">
        <f>IF($F$6=1,D22-F22,IF($F$6=2,D21-F21,IF($F$6=3,D20-F20,IF($F$6=4,D19-F19,IF($F$6=5,D18-F18,IF($F$6=6,D17-F17,IF($F$6=7,D16-F16,IF($F$6=8,D15-F15,IF($F$6=9,D14-F14,IF($F$6=10,D13-F13,IF($F$6=11,D12-F12,0)))))))))))</f>
        <v>0</v>
      </c>
      <c r="I23" s="35">
        <f t="shared" si="3"/>
        <v>0</v>
      </c>
      <c r="J23" s="37">
        <f t="shared" si="1"/>
        <v>0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4:20" ht="12" customHeight="1" x14ac:dyDescent="0.35">
      <c r="D24" s="26">
        <v>150000</v>
      </c>
      <c r="E24" s="33">
        <v>13</v>
      </c>
      <c r="F24" s="34">
        <f t="shared" si="2"/>
        <v>130000</v>
      </c>
      <c r="G24" s="35">
        <f t="shared" si="0"/>
        <v>20000</v>
      </c>
      <c r="H24" s="34">
        <f>IF($F$6=1,D23-F23,IF($F$6=2,D22-F22,IF($F$6=3,D21-F21,IF($F$6=4,D20-F20,IF($F$6=5,D19-F19,IF($F$6=6,D18-F18,IF($F$6=7,D17-F17,IF($F$6=8,D16-F16,IF($F$6=9,D15-F15,IF($F$6=10,D14-F14,IF($F$6=11,D13-F13,IF($F$6=12,D12-F12,0))))))))))))</f>
        <v>20000</v>
      </c>
      <c r="I24" s="35">
        <f t="shared" si="3"/>
        <v>20000</v>
      </c>
      <c r="J24" s="37">
        <f t="shared" si="1"/>
        <v>0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4:20" ht="12" customHeight="1" x14ac:dyDescent="0.35">
      <c r="D25" s="26">
        <v>180000</v>
      </c>
      <c r="E25" s="33">
        <v>14</v>
      </c>
      <c r="F25" s="34">
        <f t="shared" si="2"/>
        <v>155000</v>
      </c>
      <c r="G25" s="35">
        <f t="shared" si="0"/>
        <v>25000</v>
      </c>
      <c r="H25" s="34">
        <f>IF($F$6=1,D24-F24,IF($F$6=2,D23-F23,IF($F$6=3,D22-F22,IF($F$6=4,D21-F21,IF($F$6=5,D20-F20,IF($F$6=6,D19-F19,IF($F$6=7,D18-F18,IF($F$6=8,D17-F17,IF($F$6=9,D16-F16,IF($F$6=10,D15-F15,IF($F$6=11,D14-F14,IF($F$6=12,D13-F13,IF($F$6=13,D12-F12,0)))))))))))))</f>
        <v>25000</v>
      </c>
      <c r="I25" s="35">
        <f t="shared" si="3"/>
        <v>25000</v>
      </c>
      <c r="J25" s="37">
        <f t="shared" si="1"/>
        <v>0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4:20" ht="12" customHeight="1" x14ac:dyDescent="0.35">
      <c r="D26" s="26">
        <v>190000</v>
      </c>
      <c r="E26" s="33">
        <v>15</v>
      </c>
      <c r="F26" s="34">
        <f t="shared" si="2"/>
        <v>170000</v>
      </c>
      <c r="G26" s="35">
        <f t="shared" si="0"/>
        <v>20000</v>
      </c>
      <c r="H26" s="34">
        <f>IF($F$6=1,D25-F25,IF($F$6=2,D24-F24,IF($F$6=3,D23-F23,IF($F$6=4,D22-F22,IF($F$6=5,D21-F21,IF($F$6=6,D20-F20,IF($F$6=7,D19-F19,IF($F$6=8,D18-F18,IF($F$6=9,D17-F17,IF($F$6=10,D16-F16,IF($F$6=11,D15-F15,IF($F$6=12,D14-F14,IF($F$6=13,D13-F13,IF($F$6=14,D12-F12,0))))))))))))))</f>
        <v>20000</v>
      </c>
      <c r="I26" s="35">
        <f t="shared" si="3"/>
        <v>20000</v>
      </c>
      <c r="J26" s="37">
        <f t="shared" si="1"/>
        <v>0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4:20" ht="12" customHeight="1" x14ac:dyDescent="0.35">
      <c r="D27" s="26">
        <v>180000</v>
      </c>
      <c r="E27" s="33">
        <v>16</v>
      </c>
      <c r="F27" s="34">
        <f t="shared" si="2"/>
        <v>155000</v>
      </c>
      <c r="G27" s="35">
        <f t="shared" si="0"/>
        <v>25000</v>
      </c>
      <c r="H27" s="34">
        <f>IF($F$6=1,D26-F26,IF($F$6=2,D25-F25,IF($F$6=3,D24-F24,IF($F$6=4,D23-F23,IF($F$6=5,D22-F22,IF($F$6=6,D21-F21,IF($F$6=7,D20-F20,IF($F$6=8,D19-F19,IF($F$6=9,D18-F18,IF($F$6=10,D17-F17,IF($F$6=11,D16-F16,IF($F$6=12,D15-F15,IF($F$6=13,D14-F14,IF($F$6=14,D13-F13,IF($F$6=15,D12-F12,0)))))))))))))))</f>
        <v>25000</v>
      </c>
      <c r="I27" s="35">
        <f t="shared" si="3"/>
        <v>25000</v>
      </c>
      <c r="J27" s="37">
        <f t="shared" si="1"/>
        <v>0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4:20" ht="12" customHeight="1" x14ac:dyDescent="0.35">
      <c r="D28" s="26">
        <v>180000</v>
      </c>
      <c r="E28" s="33">
        <v>17</v>
      </c>
      <c r="F28" s="34">
        <f t="shared" si="2"/>
        <v>145000</v>
      </c>
      <c r="G28" s="35">
        <f t="shared" si="0"/>
        <v>35000</v>
      </c>
      <c r="H28" s="34">
        <f>IF($F$6=1,D27-F27,IF($F$6=2,D26-F26,IF($F$6=3,D25-F25,IF($F$6=4,D24-F24,IF($F$6=5,D23-F23,IF($F$6=6,D22-F22,IF($F$6=7,D21-F21,IF($F$6=8,D20-F20,IF($F$6=9,D19-F19,IF($F$6=10,D18-F18,IF($F$6=11,D17-F17,IF($F$6=12,D16-F16,IF($F$6=13,D15-F15,IF($F$6=14,D14-F14,IF($F$6=15,D13-F13,IF($F$6=16,D12-F12,0))))))))))))))))</f>
        <v>35000</v>
      </c>
      <c r="I28" s="35">
        <f t="shared" si="3"/>
        <v>35000</v>
      </c>
      <c r="J28" s="37">
        <f t="shared" si="1"/>
        <v>0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4:20" ht="12" customHeight="1" x14ac:dyDescent="0.35">
      <c r="D29" s="26">
        <v>200000</v>
      </c>
      <c r="E29" s="33">
        <v>18</v>
      </c>
      <c r="F29" s="34">
        <f t="shared" si="2"/>
        <v>170000</v>
      </c>
      <c r="G29" s="35">
        <f t="shared" si="0"/>
        <v>30000</v>
      </c>
      <c r="H29" s="34">
        <f>IF($F$6=1,D28-F28,IF($F$6=2,D27-F27,IF($F$6=3,D26-F26,IF($F$6=4,D25-F25,IF($F$6=5,D24-F24,IF($F$6=6,D23-F23,IF($F$6=7,D22-F22,IF($F$6=8,D21-F21,IF($F$6=9,D20-F20,IF($F$6=10,D19-F19,IF($F$6=11,D18-F18,IF($F$6=12,D17-F17,IF($F$6=13,D16-F16,IF($F$6=14,D15-F15,IF($F$6=15,D14-F14,IF($F$6=16,D13-F13,IF($F$6=17,D12-F12,0)))))))))))))))))</f>
        <v>30000</v>
      </c>
      <c r="I29" s="35">
        <f t="shared" si="3"/>
        <v>30000</v>
      </c>
      <c r="J29" s="37">
        <f t="shared" si="1"/>
        <v>0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4:20" ht="12" customHeight="1" x14ac:dyDescent="0.35">
      <c r="D30" s="26">
        <v>200000</v>
      </c>
      <c r="E30" s="33">
        <v>19</v>
      </c>
      <c r="F30" s="34">
        <f t="shared" si="2"/>
        <v>170000</v>
      </c>
      <c r="G30" s="35">
        <f t="shared" si="0"/>
        <v>30000</v>
      </c>
      <c r="H30" s="34">
        <f>IF($F$6=1,D29-F29,IF($F$6=2,D28-F28,IF($F$6=3,D27-F27,IF($F$6=4,D26-F26,IF($F$6=5,D25-F25,IF($F$6=6,D24-F24,IF($F$6=7,D23-F23,IF($F$6=8,D22-F22,IF($F$6=9,D21-F21,IF($F$6=10,D20-F20,IF($F$6=11,D19-F19,IF($F$6=12,D18-F18,IF($F$6=13,D17-F17,IF($F$6=14,D16-F16,IF($F$6=15,D15-F15,IF($F$6=16,D14-F14,IF($F$6=17,D13-F13,IF($F$6=18,D12-F12,0))))))))))))))))))</f>
        <v>30000</v>
      </c>
      <c r="I30" s="35">
        <f t="shared" si="3"/>
        <v>30000</v>
      </c>
      <c r="J30" s="37">
        <f t="shared" si="1"/>
        <v>0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4:20" ht="12" customHeight="1" x14ac:dyDescent="0.35">
      <c r="D31" s="26">
        <v>200000</v>
      </c>
      <c r="E31" s="33">
        <v>20</v>
      </c>
      <c r="F31" s="34">
        <f t="shared" si="2"/>
        <v>155000</v>
      </c>
      <c r="G31" s="35">
        <f t="shared" si="0"/>
        <v>45000</v>
      </c>
      <c r="H31" s="34">
        <f>IF($F$6=1,D30-F30,IF($F$6=2,D29-F29,IF($F$6=3,D28-F28,IF($F$6=4,D27-F27,IF($F$6=5,D26-F26,IF($F$6=6,D25-F25,IF($F$6=7,D24-F24,IF($F$6=8,D23-F23,IF($F$6=9,D22-F22,IF($F$6=10,D21-F21,IF($F$6=11,D20-F20,IF($F$6=12,D19-F19,IF($F$6=13,D18-F18,IF($F$6=14,D17-F17,IF($F$6=15,D16-F16,IF($F$6=16,D15-F15,IF($F$6=17,D14-F14,IF($F$6=18,D13-F13,IF($F$6=19,D12-F12,0)))))))))))))))))))</f>
        <v>45000</v>
      </c>
      <c r="I31" s="35">
        <f t="shared" si="3"/>
        <v>45000</v>
      </c>
      <c r="J31" s="37">
        <f t="shared" si="1"/>
        <v>0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4:20" ht="12" customHeight="1" x14ac:dyDescent="0.35">
      <c r="D32" s="26">
        <v>130000</v>
      </c>
      <c r="E32" s="33">
        <v>21</v>
      </c>
      <c r="F32" s="34">
        <f t="shared" si="2"/>
        <v>90000</v>
      </c>
      <c r="G32" s="35">
        <f t="shared" si="0"/>
        <v>40000</v>
      </c>
      <c r="H32" s="34">
        <f>IF($F$6=1,D31-F31,IF($F$6=2,D30-F30,IF($F$6=3,D29-F29,IF($F$6=4,D28-F28,IF($F$6=5,D27-F27,IF($F$6=6,D26-F26,IF($F$6=7,D25-F25,IF($F$6=8,D24-F24,IF($F$6=9,D23-F23,IF($F$6=10,D22-F22,IF($F$6=11,D21-F21,IF($F$6=12,D20-F20,IF($F$6=13,D19-F19,IF($F$6=14,D18-F18,IF($F$6=15,D17-F17,IF($F$6=16,D16-F16,IF($F$6=17,D15-F15,IF($F$6=18,D14-F14,IF($F$6=19,D13-F13,IF($F$6=20,D12-F12,0))))))))))))))))))))</f>
        <v>40000</v>
      </c>
      <c r="I32" s="35">
        <f t="shared" si="3"/>
        <v>40000</v>
      </c>
      <c r="J32" s="37">
        <f t="shared" si="1"/>
        <v>0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4:20" ht="12" customHeight="1" x14ac:dyDescent="0.35">
      <c r="D33" s="26">
        <v>130000</v>
      </c>
      <c r="E33" s="33">
        <v>22</v>
      </c>
      <c r="F33" s="34">
        <f t="shared" si="2"/>
        <v>10000</v>
      </c>
      <c r="G33" s="35">
        <f t="shared" si="0"/>
        <v>120000</v>
      </c>
      <c r="H33" s="34">
        <f>IF($F$6=1,D32-F32,IF($F$6=2,D31-F31,IF($F$6=3,D30-F30,IF($F$6=4,D29-F29,IF($F$6=5,D28-F28,IF($F$6=6,D27-F27,IF($F$6=7,D26-F26,IF($F$6=8,D25-F25,IF($F$6=9,D24-F24,IF($F$6=10,D23-F23,IF($F$6=11,D22-F22,IF($F$6=12,D21-F21,IF($F$6=13,D20-F20,IF($F$6=14,D19-F19,IF($F$6=15,D18-F18,IF($F$6=16,D17-F17,IF($F$6=17,D16-F16,IF($F$6=18,D15-F15,IF($F$6=19,D14-F14,IF($F$6=20,D13-F13,IF($F$6=21,D12-F12,0)))))))))))))))))))))</f>
        <v>120000</v>
      </c>
      <c r="I33" s="35">
        <f t="shared" si="3"/>
        <v>120000</v>
      </c>
      <c r="J33" s="37">
        <f t="shared" si="1"/>
        <v>0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4:20" ht="12" customHeight="1" x14ac:dyDescent="0.35">
      <c r="D34" s="26">
        <v>130000</v>
      </c>
      <c r="E34" s="33">
        <v>23</v>
      </c>
      <c r="F34" s="34">
        <f t="shared" si="2"/>
        <v>20000</v>
      </c>
      <c r="G34" s="35">
        <f t="shared" si="0"/>
        <v>110000</v>
      </c>
      <c r="H34" s="34">
        <f>IF($F$6=1,D33-F33,IF($F$6=2,D32-F32,IF($F$6=3,D31-F31,IF($F$6=4,D30-F30,IF($F$6=5,D29-F29,IF($F$6=6,D28-F28,IF($F$6=7,D27-F27,IF($F$6=8,D26-F26,IF($F$6=9,D25-F25,IF($F$6=10,D24-F24,IF($F$6=11,D23-F23,IF($F$6=12,D22-F22,IF($F$6=13,D21-F21,IF($F$6=14,D20-F20,IF($F$6=15,D19-F19,IF($F$6=16,D18-F18,IF($F$6=17,D17-F17,IF($F$6=18,D16-F16,IF($F$6=19,D15-F15,IF($F$6=20,D14-F14,IF($F$6=21,D13-F13,IF($F$6=22,D12-F12,0))))))))))))))))))))))</f>
        <v>110000</v>
      </c>
      <c r="I34" s="35">
        <f t="shared" si="3"/>
        <v>110000</v>
      </c>
      <c r="J34" s="37">
        <f t="shared" si="1"/>
        <v>0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spans="4:20" ht="12" customHeight="1" x14ac:dyDescent="0.35">
      <c r="D35" s="26">
        <v>100000</v>
      </c>
      <c r="E35" s="33">
        <v>24</v>
      </c>
      <c r="F35" s="34">
        <f t="shared" si="2"/>
        <v>100000</v>
      </c>
      <c r="G35" s="35">
        <f t="shared" si="0"/>
        <v>0</v>
      </c>
      <c r="H35" s="34">
        <f>IF($F$6=1,D34-F34,IF($F$6=2,D33-F33,IF($F$6=3,D32-F32,IF($F$6=4,D31-F31,IF($F$6=5,D30-F30,IF($F$6=6,D29-F29,IF($F$6=7,D28-F28,IF($F$6=8,D27-F27,IF($F$6=9,D26-F26,IF($F$6=10,D25-F25,IF($F$6=11,D24-F24,IF($F$6=12,D23-F23,IF($F$6=13,D22-F22,IF($F$6=14,D21-F21,IF($F$6=15,D20-F20,IF($F$6=16,D19-F19,IF($F$6=17,D18-F18,IF($F$6=18,D17-F17,IF($F$6=19,D16-F16,IF($F$6=20,D15-F15,IF($F$6=21,D14-F14,IF($F$6=22,D13-F13,IF($F$6=23,D12-F12,0)))))))))))))))))))))))</f>
        <v>0</v>
      </c>
      <c r="I35" s="35">
        <f t="shared" si="3"/>
        <v>0</v>
      </c>
      <c r="J35" s="37">
        <f t="shared" si="1"/>
        <v>0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4:20" ht="12" customHeight="1" x14ac:dyDescent="0.35">
      <c r="D36" s="26">
        <v>70000</v>
      </c>
      <c r="E36" s="33">
        <v>25</v>
      </c>
      <c r="F36" s="34">
        <f t="shared" si="2"/>
        <v>50000</v>
      </c>
      <c r="G36" s="35">
        <f t="shared" si="0"/>
        <v>20000</v>
      </c>
      <c r="H36" s="34">
        <f>IF($F$6=1,D35-F35,IF($F$6=2,D34-F34,IF($F$6=3,D33-F33,IF($F$6=4,D32-F32,IF($F$6=5,D31-F31,IF($F$6=6,D30-F30,IF($F$6=7,D29-F29,IF($F$6=8,D28-F28,IF($F$6=9,D27-F27,IF($F$6=10,D26-F26,IF($F$6=11,D25-F25,IF($F$6=12,D24-F24,IF($F$6=13,D23-F23,IF($F$6=14,D22-F22,IF($F$6=15,D21-F21,IF($F$6=16,D20-F20,IF($F$6=17,D19-F19,IF($F$6=18,D18-F18,IF($F$6=19,D17-F17,IF($F$6=20,D16-F16,IF($F$6=21,D15-F15,IF($F$6=22,D14-F14,IF($F$6=23,D13-F13,IF($F$6=24,D12-F12,0))))))))))))))))))))))))</f>
        <v>20000</v>
      </c>
      <c r="I36" s="35">
        <f t="shared" si="3"/>
        <v>20000</v>
      </c>
      <c r="J36" s="37">
        <f t="shared" si="1"/>
        <v>0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spans="4:20" ht="12" customHeight="1" x14ac:dyDescent="0.35">
      <c r="D37" s="26">
        <v>70000</v>
      </c>
      <c r="E37" s="33">
        <v>26</v>
      </c>
      <c r="F37" s="34">
        <f t="shared" si="2"/>
        <v>45000</v>
      </c>
      <c r="G37" s="35">
        <f t="shared" si="0"/>
        <v>25000</v>
      </c>
      <c r="H37" s="34">
        <f>IF($F$6=1,D36-F36,IF($F$6=2,D35-F35,IF($F$6=3,D34-F34,IF($F$6=4,D33-F33,IF($F$6=5,D32-F32,IF($F$6=6,D31-F31,IF($F$6=7,D30-F30,IF($F$6=8,D29-F29,IF($F$6=9,D28-F28,IF($F$6=10,D27-F27,IF($F$6=11,D26-F26,IF($F$6=12,D25-F25,IF($F$6=13,D24-F24,IF($F$6=14,D23-F23,IF($F$6=15,D22-F22,IF($F$6=16,D21-F21,IF($F$6=17,D20-F20,IF($F$6=18,D19-F19,IF($F$6=19,D18-F18,IF($F$6=20,D17-F17,IF($F$6=21,D16-F16,IF($F$6=22,D15-F15,IF($F$6=23,D14-F14,IF($F$6=24,D13-F13,IF($F$6=25,D12-F12,0)))))))))))))))))))))))))</f>
        <v>25000</v>
      </c>
      <c r="I37" s="35">
        <f t="shared" si="3"/>
        <v>25000</v>
      </c>
      <c r="J37" s="37">
        <f t="shared" si="1"/>
        <v>0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4:20" ht="12" customHeight="1" x14ac:dyDescent="0.35">
      <c r="D38" s="26">
        <v>70000</v>
      </c>
      <c r="E38" s="33">
        <v>27</v>
      </c>
      <c r="F38" s="34">
        <f t="shared" si="2"/>
        <v>50000</v>
      </c>
      <c r="G38" s="35">
        <f t="shared" si="0"/>
        <v>20000</v>
      </c>
      <c r="H38" s="34">
        <f>IF($F$6=1,D37-F37,IF($F$6=2,D36-F36,IF($F$6=3,D35-F35,IF($F$6=4,D34-F34,IF($F$6=5,D33-F33,IF($F$6=6,D32-F32,IF($F$6=7,D31-F31,IF($F$6=8,D30-F30,IF($F$6=9,D29-F29,IF($F$6=10,D28-F28,IF($F$6=11,D27-F27,IF($F$6=12,D26-F26,IF($F$6=13,D25-F25,IF($F$6=14,D24-F24,IF($F$6=15,D23-F23,IF($F$6=16,D22-F22,IF($F$6=17,D21-F21,IF($F$6=18,D20-F20,IF($F$6=19,D19-F19,IF($F$6=20,D18-F18,IF($F$6=21,D17-F17,IF($F$6=22,D16-F16,IF($F$6=23,D15-F15,IF($F$6=24,D14-F14,IF($F$6=25,D13-F13,IF($F$6=26,D12-F12,0))))))))))))))))))))))))))</f>
        <v>20000</v>
      </c>
      <c r="I38" s="35">
        <f t="shared" si="3"/>
        <v>20000</v>
      </c>
      <c r="J38" s="37">
        <f t="shared" si="1"/>
        <v>0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4:20" ht="12" customHeight="1" x14ac:dyDescent="0.35">
      <c r="D39" s="26">
        <v>60000</v>
      </c>
      <c r="E39" s="33">
        <v>28</v>
      </c>
      <c r="F39" s="34">
        <f t="shared" si="2"/>
        <v>35000</v>
      </c>
      <c r="G39" s="35">
        <f t="shared" si="0"/>
        <v>25000</v>
      </c>
      <c r="H39" s="34">
        <f>IF($F$6=1,D38-F38,IF($F$6=2,D37-F37,IF($F$6=3,D36-F36,IF($F$6=4,D35-F35,IF($F$6=5,D34-F34,IF($F$6=6,D33-F33,IF($F$6=7,D32-F32,IF($F$6=8,D31-F31,IF($F$6=9,D30-F30,IF($F$6=10,D29-F29,IF($F$6=11,D28-F28,IF($F$6=12,D27-F27,IF($F$6=13,D26-F26,IF($F$6=14,D25-F25,IF($F$6=15,D24-F24,IF($F$6=16,D23-F23,IF($F$6=17,D22-F22,IF($F$6=18,D21-F21,IF($F$6=19,D20-F20,IF($F$6=20,D19-F19,IF($F$6=21,D18-F18,IF($F$6=22,D17-F17,IF($F$6=23,D16-F16,IF($F$6=24,D15-F15,IF($F$6=25,D14-F14,IF($F$6=26,D13-F13,IF($F$6=27,D12-F12,0)))))))))))))))))))))))))))</f>
        <v>25000</v>
      </c>
      <c r="I39" s="35">
        <f t="shared" si="3"/>
        <v>25000</v>
      </c>
      <c r="J39" s="37">
        <f t="shared" si="1"/>
        <v>0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4:20" ht="12" customHeight="1" x14ac:dyDescent="0.35">
      <c r="D40" s="26">
        <v>50000</v>
      </c>
      <c r="E40" s="33">
        <v>29</v>
      </c>
      <c r="F40" s="34">
        <f t="shared" si="2"/>
        <v>15000</v>
      </c>
      <c r="G40" s="35">
        <f t="shared" si="0"/>
        <v>35000</v>
      </c>
      <c r="H40" s="34">
        <f>IF($F$6=1,D39-F39,IF($F$6=2,D38-F38,IF($F$6=3,D37-F37,IF($F$6=4,D36-F36,IF($F$6=5,D35-F35,IF($F$6=6,D34-F34,IF($F$6=7,D33-F33,IF($F$6=8,D32-F32,IF($F$6=9,D31-F31,IF($F$6=10,D30-F30,IF($F$6=11,D29-F29,IF($F$6=12,D28-F28,IF($F$6=13,D27-F27,IF($F$6=14,D26-F26,IF($F$6=15,D25-F25,IF($F$6=16,D24-F24,IF($F$6=17,D23-F23,IF($F$6=18,D22-F22,IF($F$6=19,D21-F21,IF($F$6=20,D20-F20,IF($F$6=21,D19-F19,IF($F$6=22,D18-F18,IF($F$6=23,D17-F17,IF($F$6=24,D16-F16,IF($F$6=25,D15-F15,IF($F$6=26,D14-F14,IF($F$6=27,D13-F13,IF($F$6=28,D12-F12,0))))))))))))))))))))))))))))</f>
        <v>35000</v>
      </c>
      <c r="I40" s="35">
        <f t="shared" si="3"/>
        <v>35000</v>
      </c>
      <c r="J40" s="37">
        <f t="shared" si="1"/>
        <v>0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4:20" ht="12" customHeight="1" x14ac:dyDescent="0.35">
      <c r="D41" s="26">
        <v>45000</v>
      </c>
      <c r="E41" s="33">
        <v>30</v>
      </c>
      <c r="F41" s="34">
        <f t="shared" si="2"/>
        <v>15000</v>
      </c>
      <c r="G41" s="35">
        <f t="shared" si="0"/>
        <v>30000</v>
      </c>
      <c r="H41" s="34">
        <f>IF($F$6=1,D40-F40,IF($F$6=2,D39-F39,IF($F$6=3,D38-F38,IF($F$6=4,D37-F37,IF($F$6=5,D36-F36,IF($F$6=6,D35-F35,IF($F$6=7,D34-F34,IF($F$6=8,D33-F33,IF($F$6=9,D32-F32,IF($F$6=10,D31-F31,IF($F$6=11,D30-F30,IF($F$6=12,D29-F29,IF($F$6=13,D28-F28,IF($F$6=14,D27-F27,IF($F$6=15,D26-F26,IF($F$6=16,D25-F25,IF($F$6=17,D24-F24,IF($F$6=18,D23-F23,IF($F$6=19,D22-F22,IF($F$6=20,D21-F21,IF($F$6=21,D20-F20,IF($F$6=22,D19-F19,IF($F$6=23,D18-F18,IF($F$6=24,D17-F17,IF($F$6=25,D16-F16,IF($F$6=26,D15-F15,IF($F$6=27,D14-F14,IF($F$6=28,D13-F13,IF($F$6=29,D12-F12,0)))))))))))))))))))))))))))))</f>
        <v>30000</v>
      </c>
      <c r="I41" s="35">
        <f t="shared" si="3"/>
        <v>30000</v>
      </c>
      <c r="J41" s="37">
        <f t="shared" si="1"/>
        <v>0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4:20" ht="12" customHeight="1" x14ac:dyDescent="0.35">
      <c r="D42" s="26">
        <v>45000</v>
      </c>
      <c r="E42" s="33">
        <v>31</v>
      </c>
      <c r="F42" s="34">
        <f t="shared" si="2"/>
        <v>15000</v>
      </c>
      <c r="G42" s="35">
        <f t="shared" si="0"/>
        <v>30000</v>
      </c>
      <c r="H42" s="34">
        <f>IF($F$6=1,D41-F41,IF($F$6=2,D40-F40,IF($F$6=3,D39-F39,IF($F$6=4,D38-F38,IF($F$6=5,D37-F37,IF($F$6=6,D36-F36,IF($F$6=7,D35-F35,IF($F$6=8,D34-F34,IF($F$6=9,D33-F33,IF($F$6=10,D32-F32,IF($F$6=11,D31-F31,IF($F$6=12,D30-F30,IF($F$6=13,D29-F29,IF($F$6=14,D28-F28,IF($F$6=15,D27-F27,IF($F$6=16,D26-F26,IF($F$6=17,D25-F25,IF($F$6=18,D24-F24,IF($F$6=19,D23-F23,IF($F$6=20,D22-F22,IF($F$6=21,D21-F21,IF($F$6=22,D20-F20,IF($F$6=23,D19-F19,IF($F$6=24,D18-F18,IF($F$6=25,D17-F17,IF($F$6=26,D16-F16,IF($F$6=27,D15-F15,IF($F$6=28,D14-F14,IF($F$6=29,D13-F13,IF($F$6=30,D12-F12,0))))))))))))))))))))))))))))))</f>
        <v>30000</v>
      </c>
      <c r="I42" s="35">
        <f t="shared" si="3"/>
        <v>30000</v>
      </c>
      <c r="J42" s="37">
        <f t="shared" si="1"/>
        <v>0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4:20" ht="12" customHeight="1" x14ac:dyDescent="0.35">
      <c r="D43" s="26">
        <v>45000</v>
      </c>
      <c r="E43" s="33">
        <v>32</v>
      </c>
      <c r="F43" s="34">
        <f t="shared" si="2"/>
        <v>0</v>
      </c>
      <c r="G43" s="35">
        <f t="shared" si="0"/>
        <v>45000</v>
      </c>
      <c r="H43" s="34">
        <f>IF($F$6=1,D42-F42,IF($F$6=2,D41-F41,IF($F$6=3,D40-F40,IF($F$6=4,D39-F39,IF($F$6=5,D38-F38,IF($F$6=6,D37-F37,IF($F$6=7,D36-F36,IF($F$6=8,D35-F35,IF($F$6=9,D34-F34,IF($F$6=10,D33-F33,IF($F$6=11,D32-F32,IF($F$6=12,D31-F31,IF($F$6=13,D30-F30,IF($F$6=14,D29-F29,IF($F$6=15,D28-F28,IF($F$6=16,D27-F27,IF($F$6=17,D26-F26,IF($F$6=18,D25-F25,IF($F$6=19,D24-F24,IF($F$6=20,D23-F23,IF($F$6=21,D22-F22,IF($F$6=22,D21-F21,IF($F$6=23,D20-F20,IF($F$6=24,D19-F19,IF($F$6=25,D18-F18,IF($F$6=26,D17-F17,IF($F$6=27,D16-F16,IF($F$6=28,D15-F15,IF($F$6=29,D14-F14,IF($F$6=30,D13-F13,IF($F$6=31,D12-F12,0)))))))))))))))))))))))))))))))</f>
        <v>45000</v>
      </c>
      <c r="I43" s="35">
        <f t="shared" si="3"/>
        <v>45000</v>
      </c>
      <c r="J43" s="37">
        <f t="shared" si="1"/>
        <v>0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spans="4:20" ht="12" customHeight="1" x14ac:dyDescent="0.35">
      <c r="D44" s="26">
        <v>65000</v>
      </c>
      <c r="E44" s="33">
        <v>33</v>
      </c>
      <c r="F44" s="34">
        <f t="shared" si="2"/>
        <v>25000</v>
      </c>
      <c r="G44" s="35">
        <f t="shared" ref="G44:G63" si="4">D44-F44</f>
        <v>40000</v>
      </c>
      <c r="H44" s="34">
        <f>IF($F$6=1,D43-F43,IF($F$6=2,D42-F42,IF($F$6=3,D41-F41,IF($F$6=4,D40-F40,IF($F$6=5,D39-F39,IF($F$6=6,D38-F38,IF($F$6=7,D37-F37,IF($F$6=8,D36-F36,IF($F$6=9,D35-F35,IF($F$6=10,D34-F34,IF($F$6=11,D33-F33,IF($F$6=12,D32-F32,IF($F$6=13,D31-F31,IF($F$6=14,D30-F30,IF($F$6=15,D29-F29,IF($F$6=16,D28-F28,IF($F$6=17,D27-F27,IF($F$6=18,D26-F26,IF($F$6=19,D25-F25,IF($F$6=20,D24-F24,IF($F$6=21,D23-F23,IF($F$6=22,D22-F22,IF($F$6=23,D21-F21,IF($F$6=24,D20-F20,IF($F$6=25,D19-F19,IF($F$6=26,D18-F18,IF($F$6=27,D17-F17,IF($F$6=28,D16-F16,IF($F$6=29,D15-F15,IF($F$6=30,D14-F14,IF($F$6=31,D13-F13,IF($F$6=32,D12-F12,0))))))))))))))))))))))))))))))))</f>
        <v>40000</v>
      </c>
      <c r="I44" s="35">
        <f t="shared" si="3"/>
        <v>40000</v>
      </c>
      <c r="J44" s="37">
        <f t="shared" ref="J44:J63" si="5">I44-D44+F44</f>
        <v>0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4:20" ht="12" customHeight="1" x14ac:dyDescent="0.35">
      <c r="D45" s="26">
        <v>65000</v>
      </c>
      <c r="E45" s="33">
        <v>34</v>
      </c>
      <c r="F45" s="34">
        <f t="shared" ref="F45:F63" si="6">IF((D45-J44-H45)&lt;0,0,(D45-J44-H45))</f>
        <v>0</v>
      </c>
      <c r="G45" s="35">
        <f t="shared" si="4"/>
        <v>65000</v>
      </c>
      <c r="H45" s="34">
        <f>IF($F$6=1,D44-F44,IF($F$6=2,D43-F43,IF($F$6=3,D42-F42,IF($F$6=4,D41-F41,IF($F$6=5,D40-F40,IF($F$6=6,D39-F39,IF($F$6=7,D38-F38,IF($F$6=8,D37-F37,IF($F$6=9,D36-F36,IF($F$6=10,D35-F35,IF($F$6=11,D34-F34,IF($F$6=12,D33-F33,IF($F$6=13,D32-F32,IF($F$6=14,D31-F31,IF($F$6=15,D30-F30,IF($F$6=16,D29-F29,IF($F$6=17,D28-F28,IF($F$6=18,D27-F27,IF($F$6=19,D26-F26,IF($F$6=20,D25-F25,IF($F$6=21,D24-F24,IF($F$6=22,D23-F23,IF($F$6=23,D22-F22,IF($F$6=24,D21-F21,IF($F$6=25,D20-F20,IF($F$6=26,D19-F19,IF($F$6=27,D18-F18,IF($F$6=28,D17-F17,IF($F$6=29,D16-F16,IF($F$6=30,D15-F15,IF($F$6=31,D14-F14,IF($F$6=32,D13-F13,IF($F$6=33,D12-F12,0)))))))))))))))))))))))))))))))))</f>
        <v>120000</v>
      </c>
      <c r="I45" s="35">
        <f t="shared" ref="I45:I63" si="7">J44+H45</f>
        <v>120000</v>
      </c>
      <c r="J45" s="37">
        <f t="shared" si="5"/>
        <v>55000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spans="4:20" ht="12" customHeight="1" x14ac:dyDescent="0.35">
      <c r="D46" s="26">
        <v>70000</v>
      </c>
      <c r="E46" s="33">
        <v>35</v>
      </c>
      <c r="F46" s="34">
        <f t="shared" si="6"/>
        <v>0</v>
      </c>
      <c r="G46" s="35">
        <f t="shared" si="4"/>
        <v>70000</v>
      </c>
      <c r="H46" s="34">
        <f>IF($F$6=1,D45-F45,IF($F$6=2,D44-F44,IF($F$6=3,D43-F43,IF($F$6=4,D42-F42,IF($F$6=5,D41-F41,IF($F$6=6,D40-F40,IF($F$6=7,D39-F39,IF($F$6=8,D38-F38,IF($F$6=9,D37-F37,IF($F$6=10,D36-F36,IF($F$6=11,D35-F35,IF($F$6=12,D34-F34,IF($F$6=13,D33-F33,IF($F$6=14,D32-F32,IF($F$6=15,D31-F31,IF($F$6=16,D30-F30,IF($F$6=17,D29-F29,IF($F$6=18,D28-F28,IF($F$6=19,D27-F27,IF($F$6=20,D26-F26,IF($F$6=21,D25-F25,IF($F$6=22,D24-F24,IF($F$6=23,D23-F23,IF($F$6=24,D22-F22,IF($F$6=25,D21-F21,IF($F$6=26,D20-F20,IF($F$6=27,D19-F19,IF($F$6=28,D18-F18,IF($F$6=29,D17-F17,IF($F$6=30,D16-F16,IF($F$6=31,D15-F15,IF($F$6=32,D14-F14,IF($F$6=33,D13-F13,IF($F$6=34,D12-F12,0))))))))))))))))))))))))))))))))))</f>
        <v>110000</v>
      </c>
      <c r="I46" s="35">
        <f t="shared" si="7"/>
        <v>165000</v>
      </c>
      <c r="J46" s="37">
        <f t="shared" si="5"/>
        <v>95000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4:20" ht="12" customHeight="1" x14ac:dyDescent="0.35">
      <c r="D47" s="26">
        <v>70000</v>
      </c>
      <c r="E47" s="33">
        <v>36</v>
      </c>
      <c r="F47" s="34">
        <f t="shared" si="6"/>
        <v>0</v>
      </c>
      <c r="G47" s="35">
        <f t="shared" si="4"/>
        <v>70000</v>
      </c>
      <c r="H47" s="34">
        <f>IF($F$6=1,D46-F46,IF($F$6=2,D45-F45,IF($F$6=3,D44-F44,IF($F$6=4,D43-F43,IF($F$6=5,D42-F42,IF($F$6=6,D41-F41,IF($F$6=7,D40-F40,IF($F$6=8,D39-F39,IF($F$6=9,D38-F38,IF($F$6=10,D37-F37,IF($F$6=11,D36-F36,IF($F$6=12,D35-F35,IF($F$6=13,D34-F34,IF($F$6=14,D33-F33,IF($F$6=15,D32-F32,IF($F$6=16,D31-F31,IF($F$6=17,D30-F30,IF($F$6=18,D29-F29,IF($F$6=19,D28-F28,IF($F$6=20,D27-F27,IF($F$6=21,D26-F26,IF($F$6=22,D25-F25,IF($F$6=23,D24-F24,IF($F$6=24,D23-F23,IF($F$6=25,D22-F22,IF($F$6=26,D21-F21,IF($F$6=27,D20-F20,IF($F$6=28,D19-F19,IF($F$6=29,D18-F18,IF($F$6=30,D17-F17,IF($F$6=31,D16-F16,IF($F$6=32,D15-F15,IF($F$6=33,D14-F14,IF($F$6=34,D13-F13,IF($F$6=35,D12-F12,0)))))))))))))))))))))))))))))))))))</f>
        <v>0</v>
      </c>
      <c r="I47" s="35">
        <f t="shared" si="7"/>
        <v>95000</v>
      </c>
      <c r="J47" s="37">
        <f t="shared" si="5"/>
        <v>25000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4:20" ht="12" customHeight="1" x14ac:dyDescent="0.35">
      <c r="D48" s="26">
        <v>75000</v>
      </c>
      <c r="E48" s="33">
        <v>37</v>
      </c>
      <c r="F48" s="34">
        <f t="shared" si="6"/>
        <v>30000</v>
      </c>
      <c r="G48" s="35">
        <f t="shared" si="4"/>
        <v>45000</v>
      </c>
      <c r="H48" s="34">
        <f>IF($F$6=1,D47-F47,IF($F$6=2,D46-F46,IF($F$6=3,D45-F45,IF($F$6=4,D44-F44,IF($F$6=5,D43-F43,IF($F$6=6,D42-F42,IF($F$6=7,D41-F41,IF($F$6=8,D40-F40,IF($F$6=9,D39-F39,IF($F$6=10,D38-F38,IF($F$6=11,D37-F37,IF($F$6=12,D36-F36,IF($F$6=13,D35-F35,IF($F$6=14,D34-F34,IF($F$6=15,D33-F33,IF($F$6=16,D32-F32,IF($F$6=17,D31-F31,IF($F$6=18,D30-F30,IF($F$6=19,D29-F29,IF($F$6=20,D28-F28,IF($F$6=21,D27-F27,IF($F$6=22,D26-F26,IF($F$6=23,D25-F25,IF($F$6=24,D24-F24,IF($F$6=25,D23-F23,IF($F$6=26,D22-F22,IF($F$6=27,D21-F21,IF($F$6=28,D20-F20,IF($F$6=29,D19-F19,IF($F$6=30,D18-F18,IF($F$6=31,D17-F17,IF($F$6=32,D16-F16,IF($F$6=33,D15-F15,IF($F$6=34,D14-F14,IF($F$6=35,D13-F13,IF($F$6=36,D12-F12,0))))))))))))))))))))))))))))))))))))</f>
        <v>20000</v>
      </c>
      <c r="I48" s="35">
        <f t="shared" si="7"/>
        <v>45000</v>
      </c>
      <c r="J48" s="37">
        <f t="shared" si="5"/>
        <v>0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4:20" ht="12" customHeight="1" x14ac:dyDescent="0.35">
      <c r="D49" s="26">
        <v>75000</v>
      </c>
      <c r="E49" s="33">
        <v>38</v>
      </c>
      <c r="F49" s="34">
        <f t="shared" si="6"/>
        <v>50000</v>
      </c>
      <c r="G49" s="35">
        <f t="shared" si="4"/>
        <v>25000</v>
      </c>
      <c r="H49" s="34">
        <f>IF($F$6=1,D48-F48,IF($F$6=2,D47-F47,IF($F$6=3,D46-F46,IF($F$6=4,D45-F45,IF($F$6=5,D44-F44,IF($F$6=6,D43-F43,IF($F$6=7,D42-F42,IF($F$6=8,D41-F41,IF($F$6=9,D40-F40,IF($F$6=10,D39-F39,IF($F$6=11,D38-F38,IF($F$6=12,D37-F37,IF($F$6=13,D36-F36,IF($F$6=14,D35-F35,IF($F$6=15,D34-F34,IF($F$6=16,D33-F33,IF($F$6=17,D32-F32,IF($F$6=18,D31-F31,IF($F$6=19,D30-F30,IF($F$6=20,D29-F29,IF($F$6=21,D28-F28,IF($F$6=22,D27-F27,IF($F$6=23,D26-F26,IF($F$6=24,D25-F25,IF($F$6=25,D24-F24,IF($F$6=26,D23-F23,IF($F$6=27,D22-F22,IF($F$6=28,D21-F21,IF($F$6=29,D20-F20,IF($F$6=30,D19-F19,IF($F$6=31,D18-F18,IF($F$6=32,D17-F17,IF($F$6=33,D16-F16,IF($F$6=34,D15-F15,IF($F$6=35,D14-F14,IF($F$6=36,D13-F13,IF($F$6=37,D12-F12,0)))))))))))))))))))))))))))))))))))))</f>
        <v>25000</v>
      </c>
      <c r="I49" s="35">
        <f t="shared" si="7"/>
        <v>25000</v>
      </c>
      <c r="J49" s="37">
        <f t="shared" si="5"/>
        <v>0</v>
      </c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4:20" ht="12" customHeight="1" x14ac:dyDescent="0.35">
      <c r="D50" s="26">
        <v>80000</v>
      </c>
      <c r="E50" s="33">
        <v>39</v>
      </c>
      <c r="F50" s="34">
        <f t="shared" si="6"/>
        <v>60000</v>
      </c>
      <c r="G50" s="35">
        <f t="shared" si="4"/>
        <v>20000</v>
      </c>
      <c r="H50" s="34">
        <f>IF($F$6=1,D49-F49,IF($F$6=2,D48-F48,IF($F$6=3,D47-F47,IF($F$6=4,D46-F46,IF($F$6=5,D45-F45,IF($F$6=6,D44-F44,IF($F$6=7,D43-F43,IF($F$6=8,D42-F42,IF($F$6=9,D41-F41,IF($F$6=10,D40-F40,IF($F$6=11,D39-F39,IF($F$6=12,D38-F38,IF($F$6=13,D37-F37,IF($F$6=14,D36-F36,IF($F$6=15,D35-F35,IF($F$6=16,D34-F34,IF($F$6=17,D33-F33,IF($F$6=18,D32-F32,IF($F$6=19,D31-F31,IF($F$6=20,D30-F30,IF($F$6=21,D29-F29,IF($F$6=22,D28-F28,IF($F$6=23,D27-F27,IF($F$6=24,D26-F26,IF($F$6=25,D25-F25,IF($F$6=26,D24-F24,IF($F$6=27,D23-F23,IF($F$6=28,D22-F22,IF($F$6=29,D21-F21,IF($F$6=30,D20-F20,IF($F$6=31,D19-F19,IF($F$6=32,D18-F18,IF($F$6=33,D17-F17,IF($F$6=34,D16-F16,IF($F$6=35,D15-F15,IF($F$6=36,D14-F14,IF($F$6=37,D13-F13,IF($F$6=38,D13-F13,0))))))))))))))))))))))))))))))))))))))</f>
        <v>20000</v>
      </c>
      <c r="I50" s="35">
        <f t="shared" si="7"/>
        <v>20000</v>
      </c>
      <c r="J50" s="37">
        <f t="shared" si="5"/>
        <v>0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spans="4:20" ht="12" customHeight="1" x14ac:dyDescent="0.35">
      <c r="D51" s="26">
        <v>90000</v>
      </c>
      <c r="E51" s="33">
        <v>40</v>
      </c>
      <c r="F51" s="34">
        <f t="shared" si="6"/>
        <v>65000</v>
      </c>
      <c r="G51" s="35">
        <f t="shared" si="4"/>
        <v>25000</v>
      </c>
      <c r="H51" s="34">
        <f>IF($F$6=1,D50-F50,IF($F$6=2,D49-F49,IF($F$6=3,D48-F48,IF($F$6=4,D47-F47,IF($F$6=5,D46-F46,IF($F$6=6,D45-F45,IF($F$6=7,D44-F44,IF($F$6=8,D43-F43,IF($F$6=9,D42-F42,IF($F$6=10,D41-F41,IF($F$6=11,D40-F40,IF($F$6=12,D39-F39,IF($F$6=13,D38-F38,IF($F$6=14,D37-F37,IF($F$6=15,D36-F36,IF($F$6=16,D35-F35,IF($F$6=17,D34-F34,IF($F$6=18,D33-F33,IF($F$6=19,D32-F32,IF($F$6=20,D31-F31,IF($F$6=21,D30-F30,IF($F$6=22,D29-F29,IF($F$6=23,D28-F28,IF($F$6=24,D27-F27,IF($F$6=25,D26-F26,IF($F$6=26,D25-F25,IF($F$6=27,D24-F24,IF($F$6=28,D23-F23,IF($F$6=29,D22-F22,IF($F$6=30,D21-F21,IF($F$6=31,D20-F20,IF($F$6=32,D19-F19,IF($F$6=33,D18-F18,IF($F$6=34,D17-F17,IF($F$6=35,D16-F16,IF($F$6=36,D15-F15,IF($F$6=37,D14-F14,IF($F$6=38,D14-F14,IF($F$6=39,D12-F12,0)))))))))))))))))))))))))))))))))))))))</f>
        <v>25000</v>
      </c>
      <c r="I51" s="35">
        <f t="shared" si="7"/>
        <v>25000</v>
      </c>
      <c r="J51" s="37">
        <f t="shared" si="5"/>
        <v>0</v>
      </c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4:20" ht="12" customHeight="1" x14ac:dyDescent="0.35">
      <c r="D52" s="26">
        <v>90000</v>
      </c>
      <c r="E52" s="33">
        <v>41</v>
      </c>
      <c r="F52" s="34">
        <f t="shared" si="6"/>
        <v>55000</v>
      </c>
      <c r="G52" s="35">
        <f t="shared" si="4"/>
        <v>35000</v>
      </c>
      <c r="H52" s="34">
        <f>IF($F$6=1,D51-F51,IF($F$6=2,D50-F50,IF($F$6=3,D49-F49,IF($F$6=4,D48-F48,IF($F$6=5,D47-F47,IF($F$6=6,D46-F46,IF($F$6=7,D45-F45,IF($F$6=8,D44-F44,IF($F$6=9,D43-F43,IF($F$6=10,D42-F42,IF($F$6=11,D41-F41,IF($F$6=12,D40-F40,IF($F$6=13,D39-F39,IF($F$6=14,D38-F38,IF($F$6=15,D37-F37,IF($F$6=16,D36-F36,IF($F$6=17,D35-F35,IF($F$6=18,D34-F34,IF($F$6=19,D33-F33,IF($F$6=20,D32-F32,IF($F$6=21,D31-F31,IF($F$6=22,D30-F30,IF($F$6=23,D29-F29,IF($F$6=24,D28-F28,IF($F$6=25,D27-F27,IF($F$6=26,D26-F26,IF($F$6=27,D25-F25,IF($F$6=28,D24-F24,IF($F$6=29,D23-F23,IF($F$6=30,D22-F22,IF($F$6=31,D21-F21,IF($F$6=32,D20-F20,IF($F$6=33,D19-F19,IF($F$6=34,D18-F18,IF($F$6=35,D17-F17,IF($F$6=36,D16-F16,IF($F$6=37,D15-F15,IF($F$6=38,D15-F15,IF($F$6=39,D13-F13,IF($F$6=40,D12-F12,0))))))))))))))))))))))))))))))))))))))))</f>
        <v>35000</v>
      </c>
      <c r="I52" s="35">
        <f t="shared" si="7"/>
        <v>35000</v>
      </c>
      <c r="J52" s="37">
        <f t="shared" si="5"/>
        <v>0</v>
      </c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4:20" ht="12" customHeight="1" x14ac:dyDescent="0.35">
      <c r="D53" s="26">
        <v>90000</v>
      </c>
      <c r="E53" s="33">
        <v>42</v>
      </c>
      <c r="F53" s="34">
        <f t="shared" si="6"/>
        <v>60000</v>
      </c>
      <c r="G53" s="35">
        <f t="shared" si="4"/>
        <v>30000</v>
      </c>
      <c r="H53" s="34">
        <f>IF($F$6=1,D52-F52,IF($F$6=2,D51-F51,IF($F$6=3,D50-F50,IF($F$6=4,D49-F49,IF($F$6=5,D48-F48,IF($F$6=6,D47-F47,IF($F$6=7,D46-F46,IF($F$6=8,D45-F45,IF($F$6=9,D44-F44,IF($F$6=10,D43-F43,IF($F$6=11,D42-F42,IF($F$6=12,D41-F41,IF($F$6=13,D40-F40,IF($F$6=14,D39-F39,IF($F$6=15,D38-F38,IF($F$6=16,D37-F37,IF($F$6=17,D36-F36,IF($F$6=18,D35-F35,IF($F$6=19,D34-F34,IF($F$6=20,D33-F33,IF($F$6=21,D32-F32,IF($F$6=22,D31-F31,IF($F$6=23,D30-F30,IF($F$6=24,D29-F29,IF($F$6=25,D28-F28,IF($F$6=26,D27-F27,IF($F$6=27,D26-F26,IF($F$6=28,D25-F25,IF($F$6=29,D24-F24,IF($F$6=30,D23-F23,IF($F$6=31,D22-F22,IF($F$6=32,D21-F21,IF($F$6=33,D20-F20,IF($F$6=34,D19-F19,IF($F$6=35,D18-F18,IF($F$6=36,D17-F17,IF($F$6=37,D16-F16,IF($F$6=38,D16-F16,IF($F$6=39,D14-F14,IF($F$6=40,D13-F13,IF($F$6=41,D12-F12,0)))))))))))))))))))))))))))))))))))))))))</f>
        <v>30000</v>
      </c>
      <c r="I53" s="35">
        <f t="shared" si="7"/>
        <v>30000</v>
      </c>
      <c r="J53" s="37">
        <f t="shared" si="5"/>
        <v>0</v>
      </c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4:20" ht="12" customHeight="1" x14ac:dyDescent="0.35">
      <c r="D54" s="26">
        <v>80000</v>
      </c>
      <c r="E54" s="33">
        <v>43</v>
      </c>
      <c r="F54" s="34">
        <f t="shared" si="6"/>
        <v>50000</v>
      </c>
      <c r="G54" s="35">
        <f t="shared" si="4"/>
        <v>30000</v>
      </c>
      <c r="H54" s="34">
        <f>IF($F$6=1,D53-F53,IF($F$6=2,D52-F52,IF($F$6=3,D51-F51,IF($F$6=4,D50-F50,IF($F$6=5,D49-F49,IF($F$6=6,D48-F48,IF($F$6=7,D47-F47,IF($F$6=8,D46-F46,IF($F$6=9,D45-F45,IF($F$6=10,D44-F44,IF($F$6=11,D43-F43,IF($F$6=12,D42-F42,IF($F$6=13,D41-F41,IF($F$6=14,D40-F40,IF($F$6=15,D39-F39,IF($F$6=16,D38-F38,IF($F$6=17,D37-F37,IF($F$6=18,D36-F36,IF($F$6=19,D35-F35,IF($F$6=20,D34-F34,IF($F$6=21,D33-F33,IF($F$6=22,D32-F32,IF($F$6=23,D31-F31,IF($F$6=24,D30-F30,IF($F$6=25,D29-F29,IF($F$6=26,D28-F28,IF($F$6=27,D27-F27,IF($F$6=28,D26-F26,IF($F$6=29,D25-F25,IF($F$6=30,D24-F24,IF($F$6=31,D23-F23,IF($F$6=32,D22-F22,IF($F$6=33,D21-F21,IF($F$6=34,D20-F20,IF($F$6=35,D19-F19,IF($F$6=36,D18-F18,IF($F$6=37,D17-F17,IF($F$6=38,D17-F17,IF($F$6=39,D15-F15,IF($F$6=40,D14-F14,IF($F$6=41,D13-F13,IF($F$6=42,D12-F12,0))))))))))))))))))))))))))))))))))))))))))</f>
        <v>30000</v>
      </c>
      <c r="I54" s="35">
        <f t="shared" si="7"/>
        <v>30000</v>
      </c>
      <c r="J54" s="37">
        <f t="shared" si="5"/>
        <v>0</v>
      </c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spans="4:20" ht="12" customHeight="1" x14ac:dyDescent="0.35">
      <c r="D55" s="26">
        <v>40000</v>
      </c>
      <c r="E55" s="33">
        <v>44</v>
      </c>
      <c r="F55" s="34">
        <f t="shared" si="6"/>
        <v>0</v>
      </c>
      <c r="G55" s="35">
        <f t="shared" si="4"/>
        <v>40000</v>
      </c>
      <c r="H55" s="34">
        <f>IF($F$6=1,D54-F54,IF($F$6=2,D53-F53,IF($F$6=3,D52-F52,IF($F$6=4,D51-F51,IF($F$6=5,D50-F50,IF($F$6=6,D49-F49,IF($F$6=7,D48-F48,IF($F$6=8,D47-F47,IF($F$6=9,D46-F46,IF($F$6=10,D45-F45,IF($F$6=11,D44-F44,IF($F$6=12,D43-F43,IF($F$6=13,D42-F42,IF($F$6=14,D41-F41,IF($F$6=15,D40-F40,IF($F$6=16,D39-F39,IF($F$6=17,D38-F38,IF($F$6=18,D37-F37,IF($F$6=19,D36-F36,IF($F$6=20,D35-F35,IF($F$6=21,D34-F34,IF($F$6=22,D33-F33,IF($F$6=23,D32-F32,IF($F$6=24,D31-F31,IF($F$6=25,D30-F30,IF($F$6=26,D29-F29,IF($F$6=27,D28-F28,IF($F$6=28,D27-F27,IF($F$6=29,D26-F26,IF($F$6=30,D25-F25,IF($F$6=31,D24-F24,IF($F$6=32,D23-F23,IF($F$6=33,D22-F22,IF($F$6=34,D21-F21,IF($F$6=35,D20-F20,IF($F$6=36,D19-F19,IF($F$6=37,D18-F18,IF($F$6=38,D18-F18,IF($F$6=39,D16-F16,IF($F$6=40,D15-F15,IF($F$6=41,D14-F14,IF($F$6=42,D13-F13,IF($F$6=43,D12-F12,0)))))))))))))))))))))))))))))))))))))))))))</f>
        <v>45000</v>
      </c>
      <c r="I55" s="35">
        <f t="shared" si="7"/>
        <v>45000</v>
      </c>
      <c r="J55" s="37">
        <f t="shared" si="5"/>
        <v>5000</v>
      </c>
      <c r="K55" s="12"/>
      <c r="L55" s="12"/>
      <c r="M55" s="12"/>
      <c r="N55" s="12"/>
      <c r="O55" s="12"/>
      <c r="P55" s="12"/>
      <c r="Q55" s="12"/>
      <c r="R55" s="12"/>
      <c r="S55" s="12"/>
      <c r="T55" s="12"/>
    </row>
    <row r="56" spans="4:20" ht="12" customHeight="1" x14ac:dyDescent="0.35">
      <c r="D56" s="26">
        <v>50000</v>
      </c>
      <c r="E56" s="33">
        <v>45</v>
      </c>
      <c r="F56" s="34">
        <f t="shared" si="6"/>
        <v>5000</v>
      </c>
      <c r="G56" s="35">
        <f t="shared" si="4"/>
        <v>45000</v>
      </c>
      <c r="H56" s="34">
        <f>IF($F$6=1,D55-F55,IF($F$6=2,D54-F54,IF($F$6=3,D53-F53,IF($F$6=4,D52-F52,IF($F$6=5,D51-F51,IF($F$6=6,D50-F50,IF($F$6=7,D49-F49,IF($F$6=8,D48-F48,IF($F$6=9,D47-F47,IF($F$6=10,D46-F46,IF($F$6=11,D45-F45,IF($F$6=12,D44-F44,IF($F$6=13,D43-F43,IF($F$6=14,D42-F42,IF($F$6=15,D41-F41,IF($F$6=16,D40-F40,IF($F$6=17,D39-F39,IF($F$6=18,D38-F38,IF($F$6=19,D37-F37,IF($F$6=20,D36-F36,IF($F$6=21,D35-F35,IF($F$6=22,D34-F34,IF($F$6=23,D33-F33,IF($F$6=24,D32-F32,IF($F$6=25,D31-F31,IF($F$6=26,D30-F30,IF($F$6=27,D29-F29,IF($F$6=28,D28-F28,IF($F$6=29,D27-F27,IF($F$6=30,D26-F26,IF($F$6=31,D25-F25,IF($F$6=32,D24-F24,IF($F$6=33,D23-F23,IF($F$6=34,D22-F22,IF($F$6=35,D21-F21,IF($F$6=36,D20-F20,IF($F$6=37,D19-F19,IF($F$6=38,D19-F19,IF($F$6=39,D17-F17,IF($F$6=40,D16-F16,IF($F$6=41,D15-F15,IF($F$6=42,D14-F14,IF($F$6=43,D13-F13,IF($F$6=44,D12-F12,0))))))))))))))))))))))))))))))))))))))))))))</f>
        <v>40000</v>
      </c>
      <c r="I56" s="35">
        <f t="shared" si="7"/>
        <v>45000</v>
      </c>
      <c r="J56" s="37">
        <f t="shared" si="5"/>
        <v>0</v>
      </c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4:20" ht="12" customHeight="1" x14ac:dyDescent="0.35">
      <c r="D57" s="26">
        <v>35000</v>
      </c>
      <c r="E57" s="33">
        <v>46</v>
      </c>
      <c r="F57" s="34">
        <f t="shared" si="6"/>
        <v>0</v>
      </c>
      <c r="G57" s="35">
        <f t="shared" si="4"/>
        <v>35000</v>
      </c>
      <c r="H57" s="34">
        <f>IF($F$6=1,D56-F56,IF($F$6=2,D55-F55,IF($F$6=3,D54-F54,IF($F$6=4,D53-F53,IF($F$6=5,D52-F52,IF($F$6=6,D51-F51,IF($F$6=7,D50-F50,IF($F$6=8,D49-F49,IF($F$6=9,D48-F48,IF($F$6=10,D47-F47,IF($F$6=11,D46-F46,IF($F$6=12,D45-F45,IF($F$6=13,D44-F44,IF($F$6=14,D43-F43,IF($F$6=15,D42-F42,IF($F$6=16,D41-F41,IF($F$6=17,D40-F40,IF($F$6=18,D39-F39,IF($F$6=19,D38-F38,IF($F$6=20,D37-F37,IF($F$6=21,D36-F36,IF($F$6=22,D35-F35,IF($F$6=23,D34-F34,IF($F$6=24,D33-F33,IF($F$6=25,D32-F32,IF($F$6=26,D31-F31,IF($F$6=27,D30-F30,IF($F$6=28,D29-F29,IF($F$6=29,D28-F28,IF($F$6=30,D27-F27,IF($F$6=31,D26-F26,IF($F$6=32,D25-F25,IF($F$6=33,D24-F24,IF($F$6=34,D23-F23,IF($F$6=35,D22-F22,IF($F$6=36,D21-F21,IF($F$6=37,D20-F20,IF($F$6=38,D20-F20,IF($F$6=39,D18-F18,IF($F$6=40,D17-F17,IF($F$6=41,D16-F16,IF($F$6=42,D15-F15,IF($F$6=43,D14-F14,IF($F$6=44,D13-F13,IF($F$6=45,D12-F12,0)))))))))))))))))))))))))))))))))))))))))))))</f>
        <v>65000</v>
      </c>
      <c r="I57" s="35">
        <f t="shared" si="7"/>
        <v>65000</v>
      </c>
      <c r="J57" s="37">
        <f t="shared" si="5"/>
        <v>30000</v>
      </c>
      <c r="K57" s="12"/>
      <c r="L57" s="12"/>
      <c r="M57" s="12"/>
      <c r="N57" s="12"/>
      <c r="O57" s="12"/>
      <c r="P57" s="12"/>
      <c r="Q57" s="12"/>
      <c r="R57" s="12"/>
      <c r="S57" s="12"/>
      <c r="T57" s="12"/>
    </row>
    <row r="58" spans="4:20" ht="12" customHeight="1" x14ac:dyDescent="0.35">
      <c r="D58" s="26">
        <v>35000</v>
      </c>
      <c r="E58" s="33">
        <v>47</v>
      </c>
      <c r="F58" s="34">
        <f t="shared" si="6"/>
        <v>0</v>
      </c>
      <c r="G58" s="35">
        <f t="shared" si="4"/>
        <v>35000</v>
      </c>
      <c r="H58" s="34">
        <f>IF($F$6=1,D57-F57,IF($F$6=2,D56-F56,IF($F$6=3,D55-F55,IF($F$6=4,D54-F54,IF($F$6=5,D53-F53,IF($F$6=6,D52-F52,IF($F$6=7,D51-F51,IF($F$6=8,D50-F50,IF($F$6=9,D49-F49,IF($F$6=10,D48-F48,IF($F$6=11,D47-F47,IF($F$6=12,D46-F46,IF($F$6=13,D45-F45,IF($F$6=14,D44-F44,IF($F$6=15,D43-F43,IF($F$6=16,D42-F42,IF($F$6=17,D41-F41,IF($F$6=18,D40-F40,IF($F$6=19,D39-F39,IF($F$6=20,D38-F38,IF($F$6=21,D37-F37,IF($F$6=22,D36-F36,IF($F$6=23,D35-F35,IF($F$6=24,D34-F34,IF($F$6=25,D33-F33,IF($F$6=26,D32-F32,IF($F$6=27,D31-F31,IF($F$6=28,D30-F30,IF($F$6=29,D29-F29,IF($F$6=30,D28-F28,IF($F$6=31,D27-F27,IF($F$6=32,D26-F26,IF($F$6=33,D25-F25,IF($F$6=34,D24-F24,IF($F$6=35,D23-F23,IF($F$6=36,D22-F22,IF($F$6=37,D21-F21,IF($F$6=38,D21-F21,IF($F$6=39,D19-F19,IF($F$6=40,D18-F18,IF($F$6=41,D17-F17,IF($F$6=42,D16-F16,IF($F$6=43,D15-F15,IF($F$6=44,D14-F14,IF($F$6=45,D13-F13,IF($F$6=46,D12-F12,0))))))))))))))))))))))))))))))))))))))))))))))</f>
        <v>70000</v>
      </c>
      <c r="I58" s="35">
        <f t="shared" si="7"/>
        <v>100000</v>
      </c>
      <c r="J58" s="37">
        <f t="shared" si="5"/>
        <v>65000</v>
      </c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4:20" ht="12" customHeight="1" x14ac:dyDescent="0.35">
      <c r="D59" s="26">
        <v>35000</v>
      </c>
      <c r="E59" s="33">
        <v>48</v>
      </c>
      <c r="F59" s="34">
        <f t="shared" si="6"/>
        <v>0</v>
      </c>
      <c r="G59" s="35">
        <f t="shared" si="4"/>
        <v>35000</v>
      </c>
      <c r="H59" s="34">
        <f>IF($F$6=1,D58-F58,IF($F$6=2,D57-F57,IF($F$6=3,D56-F56,IF($F$6=4,D55-F55,IF($F$6=5,D54-F54,IF($F$6=6,D53-F53,IF($F$6=7,D52-F52,IF($F$6=8,D51-F51,IF($F$6=9,D50-F50,IF($F$6=10,D49-F49,IF($F$6=11,D48-F48,IF($F$6=12,D47-F47,IF($F$6=13,D46-F46,IF($F$6=14,D45-F45,IF($F$6=15,D44-F44,IF($F$6=16,D43-F43,IF($F$6=17,D42-F42,IF($F$6=18,D41-F41,IF($F$6=19,D40-F40,IF($F$6=20,D39-F39,IF($F$6=21,D38-F38,IF($F$6=22,D37-F37,IF($F$6=23,D36-F36,IF($F$6=24,D35-F35,IF($F$6=25,D34-F34,IF($F$6=26,D33-F33,IF($F$6=27,D32-F32,IF($F$6=28,D31-F31,IF($F$6=29,D30-F30,IF($F$6=30,D29-F29,IF($F$6=31,D28-F28,IF($F$6=32,D27-F27,IF($F$6=33,D26-F26,IF($F$6=34,D25-F25,IF($F$6=35,D24-F24,IF($F$6=36,D23-F23,IF($F$6=37,D22-F22,IF($F$6=38,D22-F22,IF($F$6=39,D20-F20,IF($F$6=40,D19-F19,IF($F$6=41,D18-F18,IF($F$6=42,D17-F17,IF($F$6=43,D16-F16,IF($F$6=44,D15-F15,IF($F$6=45,D14-F14,IF($F$6=46,D13-F13,IF($F$6=47,D12-F12,0)))))))))))))))))))))))))))))))))))))))))))))))</f>
        <v>70000</v>
      </c>
      <c r="I59" s="35">
        <f t="shared" si="7"/>
        <v>135000</v>
      </c>
      <c r="J59" s="37">
        <f t="shared" si="5"/>
        <v>100000</v>
      </c>
      <c r="K59" s="12"/>
      <c r="L59" s="12"/>
      <c r="M59" s="12"/>
      <c r="N59" s="12"/>
      <c r="O59" s="12"/>
      <c r="P59" s="12"/>
      <c r="Q59" s="12"/>
      <c r="R59" s="12"/>
      <c r="S59" s="12"/>
      <c r="T59" s="12"/>
    </row>
    <row r="60" spans="4:20" ht="12" customHeight="1" x14ac:dyDescent="0.35">
      <c r="D60" s="26">
        <v>30000</v>
      </c>
      <c r="E60" s="33">
        <v>49</v>
      </c>
      <c r="F60" s="34">
        <f t="shared" si="6"/>
        <v>0</v>
      </c>
      <c r="G60" s="35">
        <f t="shared" si="4"/>
        <v>30000</v>
      </c>
      <c r="H60" s="34">
        <f>IF($F$6=1,D59-F59,IF($F$6=2,D58-F58,IF($F$6=3,D57-F57,IF($F$6=4,D56-F56,IF($F$6=5,D55-F55,IF($F$6=6,D54-F54,IF($F$6=7,D53-F53,IF($F$6=8,D52-F52,IF($F$6=9,D51-F51,IF($F$6=10,D50-F50,IF($F$6=11,D49-F49,IF($F$6=12,D48-F48,IF($F$6=13,D47-F47,IF($F$6=14,D46-F46,IF($F$6=15,D45-F45,IF($F$6=16,D44-F44,IF($F$6=17,D43-F43,IF($F$6=18,D42-F42,IF($F$6=19,D41-F41,IF($F$6=20,D40-F40,IF($F$6=21,D39-F39,IF($F$6=22,D38-F38,IF($F$6=23,D37-F37,IF($F$6=24,D36-F36,IF($F$6=25,D35-F35,IF($F$6=26,D34-F34,IF($F$6=27,D33-F33,IF($F$6=28,D32-F32,IF($F$6=29,D31-F31,IF($F$6=30,D30-F30,IF($F$6=31,D29-F29,IF($F$6=32,D28-F28,IF($F$6=33,D27-F27,IF($F$6=34,D26-F26,IF($F$6=35,D25-F25,IF($F$6=36,D24-F24,IF($F$6=37,D23-F23,IF($F$6=38,D23-F23,IF($F$6=39,D21-F21,IF($F$6=40,D20-F20,IF($F$6=41,D19-F19,IF($F$6=42,D18-F18,IF($F$6=43,D17-F17,IF($F$6=44,D16-F16,IF($F$6=45,D15-F15,IF($F$6=46,D14-F14,IF($F$6=47,D13-F13,IF($F$6=48,D12-F12,0))))))))))))))))))))))))))))))))))))))))))))))))</f>
        <v>45000</v>
      </c>
      <c r="I60" s="35">
        <f t="shared" si="7"/>
        <v>145000</v>
      </c>
      <c r="J60" s="37">
        <f t="shared" si="5"/>
        <v>115000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</row>
    <row r="61" spans="4:20" ht="12" customHeight="1" x14ac:dyDescent="0.35">
      <c r="D61" s="26">
        <v>30000</v>
      </c>
      <c r="E61" s="33">
        <v>50</v>
      </c>
      <c r="F61" s="34">
        <f t="shared" si="6"/>
        <v>0</v>
      </c>
      <c r="G61" s="35">
        <f t="shared" si="4"/>
        <v>30000</v>
      </c>
      <c r="H61" s="34">
        <f>IF($F$6=1,D60-F60,IF($F$6=2,D59-F59,IF($F$6=3,D58-F58,IF($F$6=4,D57-F57,IF($F$6=5,D56-F56,IF($F$6=6,D55-F55,IF($F$6=7,D54-F54,IF($F$6=8,D53-F53,IF($F$6=9,D52-F52,IF($F$6=10,D51-F51,IF($F$6=11,D50-F50,IF($F$6=12,D49-F49,IF($F$6=13,D48-F48,IF($F$6=14,D47-F47,IF($F$6=15,D46-F46,IF($F$6=16,D45-F45,IF($F$6=17,D44-F44,IF($F$6=18,D43-F43,IF($F$6=19,D42-F42,IF($F$6=20,D41-F41,IF($F$6=21,D40-F40,IF($F$6=22,D39-F39,IF($F$6=23,D38-F38,IF($F$6=24,D37-F37,IF($F$6=25,D36-F36,IF($F$6=26,D35-F35,IF($F$6=27,D34-F34,IF($F$6=28,D33-F33,IF($F$6=29,D32-F32,IF($F$6=30,D31-F31,IF($F$6=31,D30-F30,IF($F$6=32,D29-F29,IF($F$6=33,D28-F28,IF($F$6=34,D27-F27,IF($F$6=35,D26-F26,IF($F$6=36,D25-F25,IF($F$6=37,D24-F24,IF($F$6=38,D24-F24,IF($F$6=39,D22-F22,IF($F$6=40,D21-F21,IF($F$6=41,D20-F20,IF($F$6=42,D19-F19,IF($F$6=43,D18-F18,IF($F$6=44,D17-F17,IF($F$6=45,D16-F16,IF($F$6=46,D15-F15,IF($F$6=47,D14-F14,IF($F$6=48,D13-F13,IF($F$6=49,D12-F12,0)))))))))))))))))))))))))))))))))))))))))))))))))</f>
        <v>25000</v>
      </c>
      <c r="I61" s="35">
        <f t="shared" si="7"/>
        <v>140000</v>
      </c>
      <c r="J61" s="37">
        <f t="shared" si="5"/>
        <v>110000</v>
      </c>
      <c r="K61" s="12"/>
      <c r="L61" s="12"/>
      <c r="M61" s="12"/>
      <c r="N61" s="12"/>
      <c r="O61" s="12"/>
      <c r="P61" s="12"/>
      <c r="Q61" s="12"/>
      <c r="R61" s="12"/>
      <c r="S61" s="12"/>
      <c r="T61" s="12"/>
    </row>
    <row r="62" spans="4:20" ht="12" customHeight="1" x14ac:dyDescent="0.35">
      <c r="D62" s="26">
        <v>25000</v>
      </c>
      <c r="E62" s="33">
        <v>51</v>
      </c>
      <c r="F62" s="34">
        <f t="shared" si="6"/>
        <v>0</v>
      </c>
      <c r="G62" s="35">
        <f t="shared" si="4"/>
        <v>25000</v>
      </c>
      <c r="H62" s="34">
        <f>IF($F$6=1,D61-F61,IF($F$6=2,D60-F60,IF($F$6=3,D59-F59,IF($F$6=4,D58-F58,IF($F$6=5,D57-F57,IF($F$6=6,D56-F56,IF($F$6=7,D55-F55,IF($F$6=8,D54-F54,IF($F$6=9,D53-F53,IF($F$6=10,D52-F52,IF($F$6=11,D51-F51,IF($F$6=12,D50-F50,IF($F$6=13,D49-F49,IF($F$6=14,D48-F48,IF($F$6=15,D47-F47,IF($F$6=16,D46-F46,IF($F$6=17,D45-F45,IF($F$6=18,D44-F44,IF($F$6=19,D43-F43,IF($F$6=20,D42-F42,IF($F$6=21,D41-F41,IF($F$6=22,D40-F40,IF($F$6=23,D39-F39,IF($F$6=24,D38-F38,IF($F$6=25,D37-F37,IF($F$6=26,D36-F36,IF($F$6=27,D35-F35,IF($F$6=28,D34-F34,IF($F$6=29,D33-F33,IF($F$6=30,D32-F32,IF($F$6=31,D31-F31,IF($F$6=32,D30-F30,IF($F$6=33,D29-F29,IF($F$6=34,D28-F28,IF($F$6=35,D27-F27,IF($F$6=36,D26-F26,IF($F$6=37,D25-F25,IF($F$6=38,D25-F25,IF($F$6=39,D23-F23,IF($F$6=40,D22-F22,IF($F$6=41,D21-F21,IF($F$6=42,D20-F20,IF($F$6=43,D19-F19,IF($F$6=44,D18-F18,IF($F$6=45,D17-F17,IF($F$6=46,D16-F16,IF($F$6=47,D15-F15,IF($F$6=48,D14-F14,IF($F$6=49,D13-F13,IF($F$6=50,D12-F12,0))))))))))))))))))))))))))))))))))))))))))))))))))</f>
        <v>20000</v>
      </c>
      <c r="I62" s="35">
        <f t="shared" si="7"/>
        <v>130000</v>
      </c>
      <c r="J62" s="37">
        <f t="shared" si="5"/>
        <v>105000</v>
      </c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4:20" ht="12" customHeight="1" x14ac:dyDescent="0.35">
      <c r="D63" s="26">
        <v>15000</v>
      </c>
      <c r="E63" s="38">
        <v>52</v>
      </c>
      <c r="F63" s="39">
        <f t="shared" si="6"/>
        <v>0</v>
      </c>
      <c r="G63" s="40">
        <f t="shared" si="4"/>
        <v>15000</v>
      </c>
      <c r="H63" s="39">
        <f>IF($F$6=1,D62-F62,IF($F$6=2,D61-F61,IF($F$6=3,D60-F60,IF($F$6=4,D59-F59,IF($F$6=5,D58-F58,IF($F$6=6,D57-F57,IF($F$6=7,D56-F56,IF($F$6=8,D55-F55,IF($F$6=9,D54-F54,IF($F$6=10,D53-F53,IF($F$6=11,D52-F52,IF($F$6=12,D51-F51,IF($F$6=13,D50-F50,IF($F$6=14,D49-F49,IF($F$6=15,D48-F48,IF($F$6=16,D47-F47,IF($F$6=17,D46-F46,IF($F$6=18,D45-F45,IF($F$6=19,D44-F44,IF($F$6=20,D43-F43,IF($F$6=21,D42-F42,IF($F$6=22,D41-F41,IF($F$6=23,D40-F40,IF($F$6=24,D39-F39,IF($F$6=25,D38-F38,IF($F$6=26,D37-F37,IF($F$6=27,D36-F36,IF($F$6=28,D35-F35,IF($F$6=29,D34-F34,IF($F$6=30,D33-F33,IF($F$6=31,D32-F32,IF($F$6=32,D31-F31,IF($F$6=33,D30-F30,IF($F$6=34,D29-F29,IF($F$6=35,D28-F28,IF($F$6=36,D27-F27,IF($F$6=37,D26-F26,IF($F$6=38,D26-F26,IF($F$6=39,D24-F24,IF($F$6=40,D23-F23,IF($F$6=41,D22-F22,IF($F$6=42,D21-F21,IF($F$6=43,D20-F20,IF($F$6=44,D19-F19,IF($F$6=45,D18-F18,IF($F$6=46,D17-F17,IF($F$6=47,D16-F16,IF($F$6=48,D15-F15,IF($F$6=49,D14-F14,IF($F$6=50,D13-F13,IF($F$6=51,D12-F12,0)))))))))))))))))))))))))))))))))))))))))))))))))))</f>
        <v>25000</v>
      </c>
      <c r="I63" s="40">
        <f t="shared" si="7"/>
        <v>130000</v>
      </c>
      <c r="J63" s="41">
        <f t="shared" si="5"/>
        <v>115000</v>
      </c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4:20" x14ac:dyDescent="0.3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4:20" x14ac:dyDescent="0.3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4:20" x14ac:dyDescent="0.3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</row>
    <row r="67" spans="4:20" x14ac:dyDescent="0.3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4:20" x14ac:dyDescent="0.3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</row>
  </sheetData>
  <customSheetViews>
    <customSheetView guid="{E5875E06-3B87-4763-A267-4E407281F662}" showPageBreaks="1" printArea="1">
      <selection activeCell="G59" sqref="A1:G59"/>
      <pageMargins left="0" right="0" top="0" bottom="0" header="0" footer="0"/>
      <pageSetup paperSize="9" orientation="portrait" r:id="rId1"/>
    </customSheetView>
    <customSheetView guid="{951C2A81-C448-4132-8DA0-FF6693023557}" showPageBreaks="1" printArea="1">
      <selection activeCell="R34" sqref="H1:R34"/>
      <pageMargins left="0" right="0" top="0" bottom="0" header="0" footer="0"/>
      <pageSetup paperSize="9" orientation="landscape" r:id="rId2"/>
    </customSheetView>
  </customSheetViews>
  <mergeCells count="7">
    <mergeCell ref="D7:E7"/>
    <mergeCell ref="F7:H7"/>
    <mergeCell ref="D2:E2"/>
    <mergeCell ref="D3:E3"/>
    <mergeCell ref="D4:E4"/>
    <mergeCell ref="D5:E5"/>
    <mergeCell ref="D6:E6"/>
  </mergeCells>
  <dataValidations count="1">
    <dataValidation type="whole" operator="greaterThan" allowBlank="1" showInputMessage="1" showErrorMessage="1" errorTitle="ganze Zahl verwenden" error="ganze Zahl verwenden" sqref="F6" xr:uid="{1ABBDD82-37E3-48D6-9C07-16C97F789330}">
      <formula1>0</formula1>
    </dataValidation>
  </dataValidations>
  <pageMargins left="0.7" right="0.7" top="0.75" bottom="0.75" header="0.3" footer="0.3"/>
  <pageSetup paperSize="9" scale="57" orientation="landscape" r:id="rId3"/>
  <customProperties>
    <customPr name="layoutContexts" r:id="rId4"/>
  </customProperties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041AE16-D91B-44EB-A2C5-845C9BC45A11}">
          <x14:formula1>
            <xm:f>Sheet1!$C$1:$I$1</xm:f>
          </x14:formula1>
          <xm:sqref>F7</xm:sqref>
        </x14:dataValidation>
        <x14:dataValidation type="list" allowBlank="1" showInputMessage="1" showErrorMessage="1" xr:uid="{6E5C1A6D-A725-4FD7-8D0E-360B16BC1FCD}">
          <x14:formula1>
            <xm:f>Sheet1!$A$8:$A$9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75216-1634-4449-BD51-164BFE00723C}">
  <dimension ref="A1:I15"/>
  <sheetViews>
    <sheetView workbookViewId="0">
      <selection activeCell="I3" sqref="I3"/>
    </sheetView>
  </sheetViews>
  <sheetFormatPr defaultRowHeight="14.25" x14ac:dyDescent="0.45"/>
  <cols>
    <col min="3" max="3" width="15" customWidth="1"/>
    <col min="4" max="4" width="11.33203125" bestFit="1" customWidth="1"/>
  </cols>
  <sheetData>
    <row r="1" spans="1:9" ht="57" x14ac:dyDescent="0.45">
      <c r="A1" s="64" t="s">
        <v>30</v>
      </c>
      <c r="B1" s="64"/>
      <c r="C1" s="45" t="s">
        <v>33</v>
      </c>
      <c r="D1" s="45" t="s">
        <v>34</v>
      </c>
      <c r="E1" s="45" t="s">
        <v>35</v>
      </c>
      <c r="F1" s="45" t="s">
        <v>36</v>
      </c>
      <c r="G1" s="45" t="s">
        <v>39</v>
      </c>
      <c r="H1" s="45" t="s">
        <v>38</v>
      </c>
      <c r="I1" s="45" t="s">
        <v>37</v>
      </c>
    </row>
    <row r="2" spans="1:9" x14ac:dyDescent="0.45">
      <c r="A2" t="s">
        <v>31</v>
      </c>
      <c r="C2" s="52">
        <v>1.05</v>
      </c>
      <c r="D2" s="52">
        <v>0.69</v>
      </c>
      <c r="E2" s="52">
        <v>0.66</v>
      </c>
      <c r="F2" s="52">
        <f>0.64</f>
        <v>0.64</v>
      </c>
      <c r="G2" s="52">
        <f>(1.75/3)+0.09</f>
        <v>0.67333333333333334</v>
      </c>
      <c r="H2" s="52">
        <f>(2.2/5)+0.1+0.08</f>
        <v>0.62</v>
      </c>
      <c r="I2" s="52">
        <f>(3.3/10)+0.1+0.07</f>
        <v>0.49999999999999994</v>
      </c>
    </row>
    <row r="3" spans="1:9" x14ac:dyDescent="0.45">
      <c r="A3" t="s">
        <v>32</v>
      </c>
      <c r="C3" s="52">
        <v>0.9</v>
      </c>
      <c r="D3" s="52">
        <v>0.59</v>
      </c>
      <c r="E3" s="52">
        <v>0.56999999999999995</v>
      </c>
      <c r="F3" s="52">
        <v>0.55000000000000004</v>
      </c>
      <c r="G3" s="52">
        <f>(1.45/3)+0.09</f>
        <v>0.57333333333333336</v>
      </c>
      <c r="H3" s="52">
        <f>(1.75/5)+0.1+0.08</f>
        <v>0.52999999999999992</v>
      </c>
      <c r="I3" s="52">
        <f>(2.8/10)+0.1+0.07</f>
        <v>0.45</v>
      </c>
    </row>
    <row r="5" spans="1:9" x14ac:dyDescent="0.45">
      <c r="A5" s="65" t="s">
        <v>41</v>
      </c>
      <c r="B5" s="65"/>
      <c r="C5" s="46">
        <f>ROUNDDOWN('Quantity planning'!G5,0)</f>
        <v>3</v>
      </c>
    </row>
    <row r="6" spans="1:9" x14ac:dyDescent="0.45">
      <c r="A6" s="51"/>
      <c r="B6" s="51"/>
      <c r="C6" s="46"/>
    </row>
    <row r="7" spans="1:9" x14ac:dyDescent="0.45">
      <c r="A7" s="65" t="s">
        <v>42</v>
      </c>
      <c r="B7" s="65"/>
      <c r="C7" s="46"/>
    </row>
    <row r="8" spans="1:9" x14ac:dyDescent="0.45">
      <c r="A8" t="s">
        <v>31</v>
      </c>
      <c r="C8" s="52">
        <f>(C2/$C$5)</f>
        <v>0.35000000000000003</v>
      </c>
      <c r="D8" s="52">
        <f t="shared" ref="D8:I9" si="0">(D2/$C$5)</f>
        <v>0.22999999999999998</v>
      </c>
      <c r="E8" s="52">
        <f>(E2/$C$5)</f>
        <v>0.22</v>
      </c>
      <c r="F8" s="52">
        <f t="shared" si="0"/>
        <v>0.21333333333333335</v>
      </c>
      <c r="G8" s="52">
        <f t="shared" si="0"/>
        <v>0.22444444444444445</v>
      </c>
      <c r="H8" s="52">
        <f t="shared" si="0"/>
        <v>0.20666666666666667</v>
      </c>
      <c r="I8" s="52">
        <f t="shared" si="0"/>
        <v>0.16666666666666666</v>
      </c>
    </row>
    <row r="9" spans="1:9" x14ac:dyDescent="0.45">
      <c r="A9" t="s">
        <v>32</v>
      </c>
      <c r="C9" s="52">
        <f>(C3/$C$5)</f>
        <v>0.3</v>
      </c>
      <c r="D9" s="52">
        <f t="shared" si="0"/>
        <v>0.19666666666666666</v>
      </c>
      <c r="E9" s="52">
        <f t="shared" si="0"/>
        <v>0.18999999999999997</v>
      </c>
      <c r="F9" s="52">
        <f t="shared" si="0"/>
        <v>0.18333333333333335</v>
      </c>
      <c r="G9" s="52">
        <f t="shared" si="0"/>
        <v>0.19111111111111112</v>
      </c>
      <c r="H9" s="52">
        <f t="shared" si="0"/>
        <v>0.17666666666666664</v>
      </c>
      <c r="I9" s="52">
        <f t="shared" si="0"/>
        <v>0.15</v>
      </c>
    </row>
    <row r="11" spans="1:9" x14ac:dyDescent="0.45">
      <c r="A11" s="50" t="s">
        <v>44</v>
      </c>
    </row>
    <row r="12" spans="1:9" x14ac:dyDescent="0.45">
      <c r="A12" t="s">
        <v>31</v>
      </c>
      <c r="C12" s="52">
        <f>'Quantity planning'!$F$9-Sheet1!C8</f>
        <v>0</v>
      </c>
      <c r="D12" s="52">
        <f>'Quantity planning'!$F$9-Sheet1!D8</f>
        <v>0.12</v>
      </c>
      <c r="E12" s="52">
        <f>'Quantity planning'!$F$9-Sheet1!E8</f>
        <v>0.12999999999999998</v>
      </c>
      <c r="F12" s="52">
        <f>'Quantity planning'!$F$9-Sheet1!F8</f>
        <v>0.13666666666666663</v>
      </c>
      <c r="G12" s="52">
        <f>'Quantity planning'!$F$9-Sheet1!G8</f>
        <v>0.12555555555555553</v>
      </c>
      <c r="H12" s="52">
        <f>'Quantity planning'!$F$9-Sheet1!H8</f>
        <v>0.14333333333333331</v>
      </c>
      <c r="I12" s="52">
        <f>'Quantity planning'!$F$9-Sheet1!I8</f>
        <v>0.18333333333333332</v>
      </c>
    </row>
    <row r="13" spans="1:9" x14ac:dyDescent="0.45">
      <c r="A13" t="s">
        <v>32</v>
      </c>
      <c r="C13" s="52">
        <f>'Quantity planning'!$F$9-Sheet1!C9</f>
        <v>4.9999999999999989E-2</v>
      </c>
      <c r="D13" s="52">
        <f>'Quantity planning'!$F$9-Sheet1!D9</f>
        <v>0.15333333333333332</v>
      </c>
      <c r="E13" s="52">
        <f>'Quantity planning'!$F$9-Sheet1!E9</f>
        <v>0.16</v>
      </c>
      <c r="F13" s="52">
        <f>'Quantity planning'!$F$9-Sheet1!F9</f>
        <v>0.16666666666666663</v>
      </c>
      <c r="G13" s="52">
        <f>'Quantity planning'!$F$9-Sheet1!G9</f>
        <v>0.15888888888888886</v>
      </c>
      <c r="H13" s="52">
        <f>'Quantity planning'!$F$9-Sheet1!H9</f>
        <v>0.17333333333333334</v>
      </c>
      <c r="I13" s="52">
        <f>'Quantity planning'!$F$9-Sheet1!I9</f>
        <v>0.19999999999999998</v>
      </c>
    </row>
    <row r="15" spans="1:9" x14ac:dyDescent="0.45">
      <c r="C15" s="52" t="s">
        <v>5</v>
      </c>
      <c r="D15" s="52" t="s">
        <v>5</v>
      </c>
    </row>
  </sheetData>
  <mergeCells count="3">
    <mergeCell ref="A1:B1"/>
    <mergeCell ref="A5:B5"/>
    <mergeCell ref="A7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B8A86-CFC5-4893-BE4B-0FDAF72943C9}">
  <dimension ref="A1:K58"/>
  <sheetViews>
    <sheetView workbookViewId="0">
      <pane ySplit="6" topLeftCell="A7" activePane="bottomLeft" state="frozen"/>
      <selection pane="bottomLeft" activeCell="F9" sqref="F9"/>
    </sheetView>
  </sheetViews>
  <sheetFormatPr defaultColWidth="11.265625" defaultRowHeight="14.25" x14ac:dyDescent="0.45"/>
  <cols>
    <col min="1" max="1" width="14.73046875" customWidth="1"/>
    <col min="3" max="3" width="16.73046875" bestFit="1" customWidth="1"/>
    <col min="4" max="4" width="13" customWidth="1"/>
    <col min="6" max="6" width="10.73046875" bestFit="1" customWidth="1"/>
    <col min="7" max="7" width="12.73046875" bestFit="1" customWidth="1"/>
  </cols>
  <sheetData>
    <row r="1" spans="1:10" x14ac:dyDescent="0.45">
      <c r="A1" s="66" t="s">
        <v>15</v>
      </c>
      <c r="B1" s="66"/>
      <c r="C1" s="1">
        <f>SUM(B7:B58)</f>
        <v>12936791.666666664</v>
      </c>
      <c r="D1" s="1"/>
      <c r="H1">
        <v>8</v>
      </c>
    </row>
    <row r="2" spans="1:10" x14ac:dyDescent="0.45">
      <c r="A2" t="s">
        <v>16</v>
      </c>
      <c r="B2" s="6"/>
      <c r="C2" s="7">
        <f>C1-C3</f>
        <v>9326397.2083333321</v>
      </c>
      <c r="D2" s="1"/>
      <c r="E2" s="9">
        <f>C2/C1</f>
        <v>0.72092041432220122</v>
      </c>
      <c r="F2" t="s">
        <v>17</v>
      </c>
    </row>
    <row r="3" spans="1:10" x14ac:dyDescent="0.45">
      <c r="A3" t="s">
        <v>18</v>
      </c>
      <c r="C3" s="1">
        <f>SUM(C7:C58)</f>
        <v>3610394.4583333326</v>
      </c>
      <c r="D3" s="1"/>
      <c r="E3" s="6">
        <f>C3/C1</f>
        <v>0.27907958567779878</v>
      </c>
      <c r="F3" t="s">
        <v>17</v>
      </c>
      <c r="G3" s="4"/>
    </row>
    <row r="4" spans="1:10" x14ac:dyDescent="0.45">
      <c r="A4" t="s">
        <v>19</v>
      </c>
      <c r="C4" s="5">
        <v>1000000</v>
      </c>
      <c r="D4" s="1"/>
      <c r="E4" s="10">
        <f>C2/C4</f>
        <v>9.3263972083333329</v>
      </c>
      <c r="F4" t="s">
        <v>20</v>
      </c>
      <c r="G4" s="4"/>
    </row>
    <row r="6" spans="1:10" x14ac:dyDescent="0.45">
      <c r="A6" t="s">
        <v>21</v>
      </c>
      <c r="B6" s="2" t="s">
        <v>22</v>
      </c>
      <c r="C6" t="s">
        <v>23</v>
      </c>
      <c r="D6" s="8" t="s">
        <v>24</v>
      </c>
      <c r="E6" t="s">
        <v>25</v>
      </c>
      <c r="F6" t="s">
        <v>26</v>
      </c>
      <c r="G6" s="3" t="s">
        <v>27</v>
      </c>
      <c r="H6" t="s">
        <v>28</v>
      </c>
    </row>
    <row r="7" spans="1:10" x14ac:dyDescent="0.45">
      <c r="A7">
        <v>1</v>
      </c>
      <c r="B7" s="1">
        <v>59355.333333333328</v>
      </c>
      <c r="C7" s="1">
        <f t="shared" ref="C7:C58" si="0">IF((B7-E7-F7)&lt;0,0,(B7-E7-F7))</f>
        <v>0</v>
      </c>
      <c r="D7" s="1">
        <f>B7-C7</f>
        <v>59355.333333333328</v>
      </c>
      <c r="E7" s="1">
        <f>C4</f>
        <v>1000000</v>
      </c>
      <c r="F7">
        <v>0</v>
      </c>
      <c r="G7" s="1">
        <f t="shared" ref="G7:G58" si="1">E7+F7</f>
        <v>1000000</v>
      </c>
      <c r="H7" s="1">
        <f t="shared" ref="H7:H58" si="2">G7-B7+C7</f>
        <v>940644.66666666663</v>
      </c>
    </row>
    <row r="8" spans="1:10" x14ac:dyDescent="0.45">
      <c r="A8">
        <v>2</v>
      </c>
      <c r="B8" s="1">
        <v>80039.875</v>
      </c>
      <c r="C8" s="1">
        <f t="shared" si="0"/>
        <v>0</v>
      </c>
      <c r="D8" s="1">
        <f t="shared" ref="D8:D58" si="3">B8-C8</f>
        <v>80039.875</v>
      </c>
      <c r="E8" s="1">
        <f>H7</f>
        <v>940644.66666666663</v>
      </c>
      <c r="F8">
        <v>0</v>
      </c>
      <c r="G8" s="1">
        <f t="shared" si="1"/>
        <v>940644.66666666663</v>
      </c>
      <c r="H8" s="1">
        <f t="shared" si="2"/>
        <v>860604.79166666663</v>
      </c>
    </row>
    <row r="9" spans="1:10" x14ac:dyDescent="0.45">
      <c r="A9">
        <v>3</v>
      </c>
      <c r="B9" s="1">
        <v>64938.916666666664</v>
      </c>
      <c r="C9" s="1">
        <f t="shared" si="0"/>
        <v>0</v>
      </c>
      <c r="D9" s="1">
        <f t="shared" si="3"/>
        <v>64938.916666666664</v>
      </c>
      <c r="E9" s="1">
        <f t="shared" ref="E9:E58" si="4">H8</f>
        <v>860604.79166666663</v>
      </c>
      <c r="F9">
        <v>0</v>
      </c>
      <c r="G9" s="1">
        <f t="shared" si="1"/>
        <v>860604.79166666663</v>
      </c>
      <c r="H9" s="1">
        <f t="shared" si="2"/>
        <v>795665.875</v>
      </c>
    </row>
    <row r="10" spans="1:10" x14ac:dyDescent="0.45">
      <c r="A10">
        <v>4</v>
      </c>
      <c r="B10" s="1">
        <v>74428.125</v>
      </c>
      <c r="C10" s="1">
        <f t="shared" si="0"/>
        <v>0</v>
      </c>
      <c r="D10" s="1">
        <f t="shared" si="3"/>
        <v>74428.125</v>
      </c>
      <c r="E10" s="1">
        <f t="shared" si="4"/>
        <v>795665.875</v>
      </c>
      <c r="F10">
        <v>0</v>
      </c>
      <c r="G10" s="1">
        <f t="shared" si="1"/>
        <v>795665.875</v>
      </c>
      <c r="H10" s="1">
        <f t="shared" si="2"/>
        <v>721237.75</v>
      </c>
    </row>
    <row r="11" spans="1:10" x14ac:dyDescent="0.45">
      <c r="A11">
        <v>5</v>
      </c>
      <c r="B11" s="1">
        <v>104839.66666666666</v>
      </c>
      <c r="C11" s="1">
        <f t="shared" si="0"/>
        <v>0</v>
      </c>
      <c r="D11" s="1">
        <f t="shared" si="3"/>
        <v>104839.66666666666</v>
      </c>
      <c r="E11" s="1">
        <f t="shared" si="4"/>
        <v>721237.75</v>
      </c>
      <c r="F11" s="1">
        <f>B7-C7</f>
        <v>59355.333333333328</v>
      </c>
      <c r="G11" s="1">
        <f t="shared" si="1"/>
        <v>780593.08333333337</v>
      </c>
      <c r="H11" s="1">
        <f t="shared" si="2"/>
        <v>675753.41666666674</v>
      </c>
    </row>
    <row r="12" spans="1:10" x14ac:dyDescent="0.45">
      <c r="A12">
        <v>6</v>
      </c>
      <c r="B12" s="1">
        <v>86002.124999999985</v>
      </c>
      <c r="C12" s="1">
        <f t="shared" si="0"/>
        <v>0</v>
      </c>
      <c r="D12" s="1">
        <f t="shared" si="3"/>
        <v>86002.124999999985</v>
      </c>
      <c r="E12" s="1">
        <f t="shared" si="4"/>
        <v>675753.41666666674</v>
      </c>
      <c r="F12" s="1">
        <f t="shared" ref="F12:F58" si="5">B8-C8</f>
        <v>80039.875</v>
      </c>
      <c r="G12" s="1">
        <f t="shared" si="1"/>
        <v>755793.29166666674</v>
      </c>
      <c r="H12" s="1">
        <f t="shared" si="2"/>
        <v>669791.16666666674</v>
      </c>
    </row>
    <row r="13" spans="1:10" x14ac:dyDescent="0.45">
      <c r="A13">
        <v>7</v>
      </c>
      <c r="B13" s="1">
        <v>88566.916666666672</v>
      </c>
      <c r="C13" s="1">
        <f t="shared" si="0"/>
        <v>0</v>
      </c>
      <c r="D13" s="1">
        <f>B13-C13</f>
        <v>88566.916666666672</v>
      </c>
      <c r="E13" s="1">
        <f>H12</f>
        <v>669791.16666666674</v>
      </c>
      <c r="F13" s="1">
        <f t="shared" si="5"/>
        <v>64938.916666666664</v>
      </c>
      <c r="G13" s="1">
        <f>E13+F13</f>
        <v>734730.08333333337</v>
      </c>
      <c r="H13" s="1">
        <f t="shared" si="2"/>
        <v>646163.16666666674</v>
      </c>
    </row>
    <row r="14" spans="1:10" x14ac:dyDescent="0.45">
      <c r="A14">
        <v>8</v>
      </c>
      <c r="B14" s="1">
        <v>127594.79166666666</v>
      </c>
      <c r="C14" s="1">
        <f t="shared" si="0"/>
        <v>0</v>
      </c>
      <c r="D14" s="1">
        <f t="shared" si="3"/>
        <v>127594.79166666666</v>
      </c>
      <c r="E14" s="1">
        <f t="shared" si="4"/>
        <v>646163.16666666674</v>
      </c>
      <c r="F14" s="1">
        <f t="shared" si="5"/>
        <v>74428.125</v>
      </c>
      <c r="G14" s="1">
        <f t="shared" si="1"/>
        <v>720591.29166666674</v>
      </c>
      <c r="H14" s="1">
        <f t="shared" si="2"/>
        <v>592996.50000000012</v>
      </c>
    </row>
    <row r="15" spans="1:10" x14ac:dyDescent="0.45">
      <c r="A15">
        <v>9</v>
      </c>
      <c r="B15" s="1">
        <v>73201.416666666672</v>
      </c>
      <c r="C15" s="1">
        <f t="shared" si="0"/>
        <v>0</v>
      </c>
      <c r="D15" s="1">
        <f t="shared" si="3"/>
        <v>73201.416666666672</v>
      </c>
      <c r="E15" s="1">
        <f t="shared" si="4"/>
        <v>592996.50000000012</v>
      </c>
      <c r="F15" s="1">
        <f t="shared" si="5"/>
        <v>104839.66666666666</v>
      </c>
      <c r="G15" s="1">
        <f t="shared" si="1"/>
        <v>697836.16666666674</v>
      </c>
      <c r="H15" s="1">
        <f t="shared" si="2"/>
        <v>624634.75000000012</v>
      </c>
    </row>
    <row r="16" spans="1:10" x14ac:dyDescent="0.45">
      <c r="A16">
        <v>10</v>
      </c>
      <c r="B16" s="1">
        <v>383175.74999999994</v>
      </c>
      <c r="C16" s="1">
        <f t="shared" si="0"/>
        <v>0</v>
      </c>
      <c r="D16" s="1">
        <f t="shared" si="3"/>
        <v>383175.74999999994</v>
      </c>
      <c r="E16" s="1">
        <f t="shared" si="4"/>
        <v>624634.75000000012</v>
      </c>
      <c r="F16" s="1">
        <f t="shared" si="5"/>
        <v>86002.124999999985</v>
      </c>
      <c r="G16" s="1">
        <f t="shared" si="1"/>
        <v>710636.87500000012</v>
      </c>
      <c r="H16" s="1">
        <f t="shared" si="2"/>
        <v>327461.12500000017</v>
      </c>
      <c r="J16" s="1"/>
    </row>
    <row r="17" spans="1:11" x14ac:dyDescent="0.45">
      <c r="A17">
        <v>11</v>
      </c>
      <c r="B17" s="1">
        <v>447325.08333333337</v>
      </c>
      <c r="C17" s="1">
        <f t="shared" si="0"/>
        <v>31297.041666666526</v>
      </c>
      <c r="D17" s="1">
        <f t="shared" si="3"/>
        <v>416028.04166666686</v>
      </c>
      <c r="E17" s="1">
        <f t="shared" si="4"/>
        <v>327461.12500000017</v>
      </c>
      <c r="F17" s="1">
        <f t="shared" si="5"/>
        <v>88566.916666666672</v>
      </c>
      <c r="G17" s="1">
        <f t="shared" si="1"/>
        <v>416028.04166666686</v>
      </c>
      <c r="H17" s="1">
        <f t="shared" si="2"/>
        <v>0</v>
      </c>
      <c r="K17" s="1"/>
    </row>
    <row r="18" spans="1:11" x14ac:dyDescent="0.45">
      <c r="A18">
        <v>12</v>
      </c>
      <c r="B18" s="1">
        <v>384473.20833333331</v>
      </c>
      <c r="C18" s="1">
        <f t="shared" si="0"/>
        <v>256878.41666666666</v>
      </c>
      <c r="D18" s="1">
        <f t="shared" si="3"/>
        <v>127594.79166666666</v>
      </c>
      <c r="E18" s="1">
        <f t="shared" si="4"/>
        <v>0</v>
      </c>
      <c r="F18" s="1">
        <f t="shared" si="5"/>
        <v>127594.79166666666</v>
      </c>
      <c r="G18" s="1">
        <f t="shared" si="1"/>
        <v>127594.79166666666</v>
      </c>
      <c r="H18" s="1">
        <f t="shared" si="2"/>
        <v>0</v>
      </c>
    </row>
    <row r="19" spans="1:11" x14ac:dyDescent="0.45">
      <c r="A19">
        <v>13</v>
      </c>
      <c r="B19" s="1">
        <v>561563.70833333337</v>
      </c>
      <c r="C19" s="1">
        <f t="shared" si="0"/>
        <v>488362.29166666669</v>
      </c>
      <c r="D19" s="1">
        <f t="shared" si="3"/>
        <v>73201.416666666686</v>
      </c>
      <c r="E19" s="1">
        <f t="shared" si="4"/>
        <v>0</v>
      </c>
      <c r="F19" s="1">
        <f t="shared" si="5"/>
        <v>73201.416666666672</v>
      </c>
      <c r="G19" s="1">
        <f t="shared" si="1"/>
        <v>73201.416666666672</v>
      </c>
      <c r="H19" s="1">
        <f t="shared" si="2"/>
        <v>0</v>
      </c>
    </row>
    <row r="20" spans="1:11" x14ac:dyDescent="0.45">
      <c r="A20">
        <v>14</v>
      </c>
      <c r="B20" s="1">
        <v>493802.75000000006</v>
      </c>
      <c r="C20" s="1">
        <f t="shared" si="0"/>
        <v>110627.00000000012</v>
      </c>
      <c r="D20" s="1">
        <f t="shared" si="3"/>
        <v>383175.74999999994</v>
      </c>
      <c r="E20" s="1">
        <f t="shared" si="4"/>
        <v>0</v>
      </c>
      <c r="F20" s="1">
        <f t="shared" si="5"/>
        <v>383175.74999999994</v>
      </c>
      <c r="G20" s="1">
        <f t="shared" si="1"/>
        <v>383175.74999999994</v>
      </c>
      <c r="H20" s="1">
        <f t="shared" si="2"/>
        <v>0</v>
      </c>
    </row>
    <row r="21" spans="1:11" x14ac:dyDescent="0.45">
      <c r="A21">
        <v>15</v>
      </c>
      <c r="B21" s="1">
        <v>565495.125</v>
      </c>
      <c r="C21" s="1">
        <f t="shared" si="0"/>
        <v>149467.08333333314</v>
      </c>
      <c r="D21" s="1">
        <f t="shared" si="3"/>
        <v>416028.04166666686</v>
      </c>
      <c r="E21" s="1">
        <f t="shared" si="4"/>
        <v>0</v>
      </c>
      <c r="F21" s="1">
        <f t="shared" si="5"/>
        <v>416028.04166666686</v>
      </c>
      <c r="G21" s="1">
        <f t="shared" si="1"/>
        <v>416028.04166666686</v>
      </c>
      <c r="H21" s="1">
        <f t="shared" si="2"/>
        <v>0</v>
      </c>
    </row>
    <row r="22" spans="1:11" x14ac:dyDescent="0.45">
      <c r="A22">
        <v>16</v>
      </c>
      <c r="B22" s="1">
        <v>543575.58333333337</v>
      </c>
      <c r="C22" s="1">
        <f t="shared" si="0"/>
        <v>415980.79166666674</v>
      </c>
      <c r="D22" s="1">
        <f t="shared" si="3"/>
        <v>127594.79166666663</v>
      </c>
      <c r="E22" s="1">
        <f t="shared" si="4"/>
        <v>0</v>
      </c>
      <c r="F22" s="1">
        <f t="shared" si="5"/>
        <v>127594.79166666666</v>
      </c>
      <c r="G22" s="1">
        <f t="shared" si="1"/>
        <v>127594.79166666666</v>
      </c>
      <c r="H22" s="1">
        <f t="shared" si="2"/>
        <v>0</v>
      </c>
    </row>
    <row r="23" spans="1:11" x14ac:dyDescent="0.45">
      <c r="A23">
        <v>17</v>
      </c>
      <c r="B23" s="1">
        <v>548139.54166666663</v>
      </c>
      <c r="C23" s="1">
        <f t="shared" si="0"/>
        <v>474938.12499999994</v>
      </c>
      <c r="D23" s="1">
        <f t="shared" si="3"/>
        <v>73201.416666666686</v>
      </c>
      <c r="E23" s="1">
        <f t="shared" si="4"/>
        <v>0</v>
      </c>
      <c r="F23" s="1">
        <f t="shared" si="5"/>
        <v>73201.416666666686</v>
      </c>
      <c r="G23" s="1">
        <f t="shared" si="1"/>
        <v>73201.416666666686</v>
      </c>
      <c r="H23" s="1">
        <f t="shared" si="2"/>
        <v>0</v>
      </c>
    </row>
    <row r="24" spans="1:11" x14ac:dyDescent="0.45">
      <c r="A24">
        <v>18</v>
      </c>
      <c r="B24" s="1">
        <v>625825.83333333337</v>
      </c>
      <c r="C24" s="1">
        <f t="shared" si="0"/>
        <v>242650.08333333343</v>
      </c>
      <c r="D24" s="1">
        <f t="shared" si="3"/>
        <v>383175.74999999994</v>
      </c>
      <c r="E24" s="1">
        <f t="shared" si="4"/>
        <v>0</v>
      </c>
      <c r="F24" s="1">
        <f t="shared" si="5"/>
        <v>383175.74999999994</v>
      </c>
      <c r="G24" s="1">
        <f t="shared" si="1"/>
        <v>383175.74999999994</v>
      </c>
      <c r="H24" s="1">
        <f t="shared" si="2"/>
        <v>0</v>
      </c>
    </row>
    <row r="25" spans="1:11" x14ac:dyDescent="0.45">
      <c r="A25">
        <v>19</v>
      </c>
      <c r="B25" s="1">
        <v>605126.41666666663</v>
      </c>
      <c r="C25" s="1">
        <f t="shared" si="0"/>
        <v>189098.37499999977</v>
      </c>
      <c r="D25" s="1">
        <f t="shared" si="3"/>
        <v>416028.04166666686</v>
      </c>
      <c r="E25" s="1">
        <f t="shared" si="4"/>
        <v>0</v>
      </c>
      <c r="F25" s="1">
        <f t="shared" si="5"/>
        <v>416028.04166666686</v>
      </c>
      <c r="G25" s="1">
        <f t="shared" si="1"/>
        <v>416028.04166666686</v>
      </c>
      <c r="H25" s="1">
        <f t="shared" si="2"/>
        <v>0</v>
      </c>
    </row>
    <row r="26" spans="1:11" x14ac:dyDescent="0.45">
      <c r="A26">
        <v>20</v>
      </c>
      <c r="B26" s="1">
        <v>603086.08333333337</v>
      </c>
      <c r="C26" s="1">
        <f t="shared" si="0"/>
        <v>475491.29166666674</v>
      </c>
      <c r="D26" s="1">
        <f t="shared" si="3"/>
        <v>127594.79166666663</v>
      </c>
      <c r="E26" s="1">
        <f t="shared" si="4"/>
        <v>0</v>
      </c>
      <c r="F26" s="1">
        <f t="shared" si="5"/>
        <v>127594.79166666663</v>
      </c>
      <c r="G26" s="1">
        <f t="shared" si="1"/>
        <v>127594.79166666663</v>
      </c>
      <c r="H26" s="1">
        <f t="shared" si="2"/>
        <v>0</v>
      </c>
    </row>
    <row r="27" spans="1:11" x14ac:dyDescent="0.45">
      <c r="A27">
        <v>21</v>
      </c>
      <c r="B27" s="1">
        <v>413900.91666666663</v>
      </c>
      <c r="C27" s="1">
        <f t="shared" si="0"/>
        <v>340699.49999999994</v>
      </c>
      <c r="D27" s="1">
        <f t="shared" si="3"/>
        <v>73201.416666666686</v>
      </c>
      <c r="E27" s="1">
        <f t="shared" si="4"/>
        <v>0</v>
      </c>
      <c r="F27" s="1">
        <f t="shared" si="5"/>
        <v>73201.416666666686</v>
      </c>
      <c r="G27" s="1">
        <f t="shared" si="1"/>
        <v>73201.416666666686</v>
      </c>
      <c r="H27" s="1">
        <f t="shared" si="2"/>
        <v>0</v>
      </c>
    </row>
    <row r="28" spans="1:11" x14ac:dyDescent="0.45">
      <c r="A28">
        <v>22</v>
      </c>
      <c r="B28" s="1">
        <v>374202.66666666663</v>
      </c>
      <c r="C28" s="1">
        <f t="shared" si="0"/>
        <v>0</v>
      </c>
      <c r="D28" s="1">
        <f t="shared" si="3"/>
        <v>374202.66666666663</v>
      </c>
      <c r="E28" s="1">
        <f t="shared" si="4"/>
        <v>0</v>
      </c>
      <c r="F28" s="1">
        <f t="shared" si="5"/>
        <v>383175.74999999994</v>
      </c>
      <c r="G28" s="1">
        <f t="shared" si="1"/>
        <v>383175.74999999994</v>
      </c>
      <c r="H28" s="1">
        <f t="shared" si="2"/>
        <v>8973.0833333333139</v>
      </c>
    </row>
    <row r="29" spans="1:11" x14ac:dyDescent="0.45">
      <c r="A29">
        <v>23</v>
      </c>
      <c r="B29" s="1">
        <v>382301.33333333337</v>
      </c>
      <c r="C29" s="1">
        <f t="shared" si="0"/>
        <v>0</v>
      </c>
      <c r="D29" s="1">
        <f t="shared" si="3"/>
        <v>382301.33333333337</v>
      </c>
      <c r="E29" s="1">
        <f t="shared" si="4"/>
        <v>8973.0833333333139</v>
      </c>
      <c r="F29" s="1">
        <f t="shared" si="5"/>
        <v>416028.04166666686</v>
      </c>
      <c r="G29" s="1">
        <f t="shared" si="1"/>
        <v>425001.12500000017</v>
      </c>
      <c r="H29" s="1">
        <f t="shared" si="2"/>
        <v>42699.791666666802</v>
      </c>
    </row>
    <row r="30" spans="1:11" x14ac:dyDescent="0.45">
      <c r="A30">
        <v>24</v>
      </c>
      <c r="B30" s="1">
        <v>298243.08333333331</v>
      </c>
      <c r="C30" s="1">
        <f t="shared" si="0"/>
        <v>127948.49999999988</v>
      </c>
      <c r="D30" s="1">
        <f t="shared" si="3"/>
        <v>170294.58333333343</v>
      </c>
      <c r="E30" s="1">
        <f t="shared" si="4"/>
        <v>42699.791666666802</v>
      </c>
      <c r="F30" s="1">
        <f t="shared" si="5"/>
        <v>127594.79166666663</v>
      </c>
      <c r="G30" s="1">
        <f t="shared" si="1"/>
        <v>170294.58333333343</v>
      </c>
      <c r="H30" s="1">
        <f t="shared" si="2"/>
        <v>0</v>
      </c>
    </row>
    <row r="31" spans="1:11" x14ac:dyDescent="0.45">
      <c r="A31">
        <v>25</v>
      </c>
      <c r="B31" s="1">
        <v>255567.83333333337</v>
      </c>
      <c r="C31" s="1">
        <f t="shared" si="0"/>
        <v>182366.41666666669</v>
      </c>
      <c r="D31" s="1">
        <f t="shared" si="3"/>
        <v>73201.416666666686</v>
      </c>
      <c r="E31" s="1">
        <f t="shared" si="4"/>
        <v>0</v>
      </c>
      <c r="F31" s="1">
        <f t="shared" si="5"/>
        <v>73201.416666666686</v>
      </c>
      <c r="G31" s="1">
        <f t="shared" si="1"/>
        <v>73201.416666666686</v>
      </c>
      <c r="H31" s="1">
        <f t="shared" si="2"/>
        <v>0</v>
      </c>
    </row>
    <row r="32" spans="1:11" x14ac:dyDescent="0.45">
      <c r="A32">
        <v>26</v>
      </c>
      <c r="B32" s="1">
        <v>216318.20833333331</v>
      </c>
      <c r="C32" s="1">
        <f t="shared" si="0"/>
        <v>0</v>
      </c>
      <c r="D32" s="1">
        <f t="shared" si="3"/>
        <v>216318.20833333331</v>
      </c>
      <c r="E32" s="1">
        <f t="shared" si="4"/>
        <v>0</v>
      </c>
      <c r="F32" s="1">
        <f t="shared" si="5"/>
        <v>374202.66666666663</v>
      </c>
      <c r="G32" s="1">
        <f t="shared" si="1"/>
        <v>374202.66666666663</v>
      </c>
      <c r="H32" s="1">
        <f t="shared" si="2"/>
        <v>157884.45833333331</v>
      </c>
    </row>
    <row r="33" spans="1:8" x14ac:dyDescent="0.45">
      <c r="A33">
        <v>27</v>
      </c>
      <c r="B33" s="1">
        <v>197327.91666666669</v>
      </c>
      <c r="C33" s="1">
        <f t="shared" si="0"/>
        <v>0</v>
      </c>
      <c r="D33" s="1">
        <f t="shared" si="3"/>
        <v>197327.91666666669</v>
      </c>
      <c r="E33" s="1">
        <f t="shared" si="4"/>
        <v>157884.45833333331</v>
      </c>
      <c r="F33" s="1">
        <f t="shared" si="5"/>
        <v>382301.33333333337</v>
      </c>
      <c r="G33" s="1">
        <f t="shared" si="1"/>
        <v>540185.79166666674</v>
      </c>
      <c r="H33" s="1">
        <f t="shared" si="2"/>
        <v>342857.87500000006</v>
      </c>
    </row>
    <row r="34" spans="1:8" x14ac:dyDescent="0.45">
      <c r="A34">
        <v>28</v>
      </c>
      <c r="B34" s="1">
        <v>185426.91666666663</v>
      </c>
      <c r="C34" s="1">
        <f t="shared" si="0"/>
        <v>0</v>
      </c>
      <c r="D34" s="1">
        <f t="shared" si="3"/>
        <v>185426.91666666663</v>
      </c>
      <c r="E34" s="1">
        <f t="shared" si="4"/>
        <v>342857.87500000006</v>
      </c>
      <c r="F34" s="1">
        <f t="shared" si="5"/>
        <v>170294.58333333343</v>
      </c>
      <c r="G34" s="1">
        <f t="shared" si="1"/>
        <v>513152.45833333349</v>
      </c>
      <c r="H34" s="1">
        <f t="shared" si="2"/>
        <v>327725.54166666686</v>
      </c>
    </row>
    <row r="35" spans="1:8" x14ac:dyDescent="0.45">
      <c r="A35">
        <v>29</v>
      </c>
      <c r="B35" s="1">
        <v>173472.54166666663</v>
      </c>
      <c r="C35" s="1">
        <f t="shared" si="0"/>
        <v>0</v>
      </c>
      <c r="D35" s="1">
        <f t="shared" si="3"/>
        <v>173472.54166666663</v>
      </c>
      <c r="E35" s="1">
        <f t="shared" si="4"/>
        <v>327725.54166666686</v>
      </c>
      <c r="F35" s="1">
        <f t="shared" si="5"/>
        <v>73201.416666666686</v>
      </c>
      <c r="G35" s="1">
        <f t="shared" si="1"/>
        <v>400926.95833333355</v>
      </c>
      <c r="H35" s="1">
        <f t="shared" si="2"/>
        <v>227454.41666666692</v>
      </c>
    </row>
    <row r="36" spans="1:8" x14ac:dyDescent="0.45">
      <c r="A36">
        <v>30</v>
      </c>
      <c r="B36" s="1">
        <v>136472.41666666669</v>
      </c>
      <c r="C36" s="1">
        <f t="shared" si="0"/>
        <v>0</v>
      </c>
      <c r="D36" s="1">
        <f t="shared" si="3"/>
        <v>136472.41666666669</v>
      </c>
      <c r="E36" s="1">
        <f>H35</f>
        <v>227454.41666666692</v>
      </c>
      <c r="F36" s="1">
        <f t="shared" si="5"/>
        <v>216318.20833333331</v>
      </c>
      <c r="G36" s="1">
        <f t="shared" si="1"/>
        <v>443772.62500000023</v>
      </c>
      <c r="H36" s="1">
        <f t="shared" si="2"/>
        <v>307300.20833333355</v>
      </c>
    </row>
    <row r="37" spans="1:8" x14ac:dyDescent="0.45">
      <c r="A37">
        <v>31</v>
      </c>
      <c r="B37" s="1">
        <v>136000.25</v>
      </c>
      <c r="C37" s="1">
        <f t="shared" si="0"/>
        <v>0</v>
      </c>
      <c r="D37" s="1">
        <f t="shared" si="3"/>
        <v>136000.25</v>
      </c>
      <c r="E37" s="1">
        <f t="shared" si="4"/>
        <v>307300.20833333355</v>
      </c>
      <c r="F37" s="1">
        <f t="shared" si="5"/>
        <v>197327.91666666669</v>
      </c>
      <c r="G37" s="1">
        <f t="shared" si="1"/>
        <v>504628.12500000023</v>
      </c>
      <c r="H37" s="1">
        <f t="shared" si="2"/>
        <v>368627.87500000023</v>
      </c>
    </row>
    <row r="38" spans="1:8" x14ac:dyDescent="0.45">
      <c r="A38">
        <v>32</v>
      </c>
      <c r="B38" s="1">
        <v>143484.58333333334</v>
      </c>
      <c r="C38" s="1">
        <f t="shared" si="0"/>
        <v>0</v>
      </c>
      <c r="D38" s="1">
        <f t="shared" si="3"/>
        <v>143484.58333333334</v>
      </c>
      <c r="E38" s="1">
        <f t="shared" si="4"/>
        <v>368627.87500000023</v>
      </c>
      <c r="F38" s="1">
        <f t="shared" si="5"/>
        <v>185426.91666666663</v>
      </c>
      <c r="G38" s="1">
        <f t="shared" si="1"/>
        <v>554054.79166666686</v>
      </c>
      <c r="H38" s="1">
        <f t="shared" si="2"/>
        <v>410570.20833333349</v>
      </c>
    </row>
    <row r="39" spans="1:8" x14ac:dyDescent="0.45">
      <c r="A39">
        <v>33</v>
      </c>
      <c r="B39" s="1">
        <v>199595.25</v>
      </c>
      <c r="C39" s="1">
        <f t="shared" si="0"/>
        <v>0</v>
      </c>
      <c r="D39" s="1">
        <f t="shared" si="3"/>
        <v>199595.25</v>
      </c>
      <c r="E39" s="1">
        <f t="shared" si="4"/>
        <v>410570.20833333349</v>
      </c>
      <c r="F39" s="1">
        <f t="shared" si="5"/>
        <v>173472.54166666663</v>
      </c>
      <c r="G39" s="1">
        <f t="shared" si="1"/>
        <v>584042.75000000012</v>
      </c>
      <c r="H39" s="1">
        <f t="shared" si="2"/>
        <v>384447.50000000012</v>
      </c>
    </row>
    <row r="40" spans="1:8" x14ac:dyDescent="0.45">
      <c r="A40">
        <v>34</v>
      </c>
      <c r="B40" s="1">
        <v>204830.625</v>
      </c>
      <c r="C40" s="1">
        <f t="shared" si="0"/>
        <v>0</v>
      </c>
      <c r="D40" s="1">
        <f t="shared" si="3"/>
        <v>204830.625</v>
      </c>
      <c r="E40" s="1">
        <f t="shared" si="4"/>
        <v>384447.50000000012</v>
      </c>
      <c r="F40" s="1">
        <f t="shared" si="5"/>
        <v>136472.41666666669</v>
      </c>
      <c r="G40" s="1">
        <f t="shared" si="1"/>
        <v>520919.9166666668</v>
      </c>
      <c r="H40" s="1">
        <f t="shared" si="2"/>
        <v>316089.2916666668</v>
      </c>
    </row>
    <row r="41" spans="1:8" x14ac:dyDescent="0.45">
      <c r="A41">
        <v>35</v>
      </c>
      <c r="B41" s="1">
        <v>213880.58333333331</v>
      </c>
      <c r="C41" s="1">
        <f t="shared" si="0"/>
        <v>0</v>
      </c>
      <c r="D41" s="1">
        <f t="shared" si="3"/>
        <v>213880.58333333331</v>
      </c>
      <c r="E41" s="1">
        <f t="shared" si="4"/>
        <v>316089.2916666668</v>
      </c>
      <c r="F41" s="1">
        <f t="shared" si="5"/>
        <v>136000.25</v>
      </c>
      <c r="G41" s="1">
        <f t="shared" si="1"/>
        <v>452089.5416666668</v>
      </c>
      <c r="H41" s="1">
        <f t="shared" si="2"/>
        <v>238208.95833333349</v>
      </c>
    </row>
    <row r="42" spans="1:8" x14ac:dyDescent="0.45">
      <c r="A42">
        <v>36</v>
      </c>
      <c r="B42" s="1">
        <v>218332.08333333331</v>
      </c>
      <c r="C42" s="1">
        <f t="shared" si="0"/>
        <v>0</v>
      </c>
      <c r="D42" s="1">
        <f t="shared" si="3"/>
        <v>218332.08333333331</v>
      </c>
      <c r="E42" s="1">
        <f t="shared" si="4"/>
        <v>238208.95833333349</v>
      </c>
      <c r="F42" s="1">
        <f t="shared" si="5"/>
        <v>143484.58333333334</v>
      </c>
      <c r="G42" s="1">
        <f t="shared" si="1"/>
        <v>381693.54166666686</v>
      </c>
      <c r="H42" s="1">
        <f t="shared" si="2"/>
        <v>163361.45833333355</v>
      </c>
    </row>
    <row r="43" spans="1:8" x14ac:dyDescent="0.45">
      <c r="A43">
        <v>37</v>
      </c>
      <c r="B43" s="1">
        <v>221511.08333333331</v>
      </c>
      <c r="C43" s="1">
        <f t="shared" si="0"/>
        <v>0</v>
      </c>
      <c r="D43" s="1">
        <f t="shared" si="3"/>
        <v>221511.08333333331</v>
      </c>
      <c r="E43" s="1">
        <f t="shared" si="4"/>
        <v>163361.45833333355</v>
      </c>
      <c r="F43" s="1">
        <f t="shared" si="5"/>
        <v>199595.25</v>
      </c>
      <c r="G43" s="1">
        <f t="shared" si="1"/>
        <v>362956.70833333355</v>
      </c>
      <c r="H43" s="1">
        <f t="shared" si="2"/>
        <v>141445.62500000023</v>
      </c>
    </row>
    <row r="44" spans="1:8" x14ac:dyDescent="0.45">
      <c r="A44">
        <v>38</v>
      </c>
      <c r="B44" s="1">
        <v>222572.87499999997</v>
      </c>
      <c r="C44" s="1">
        <f t="shared" si="0"/>
        <v>0</v>
      </c>
      <c r="D44" s="1">
        <f t="shared" si="3"/>
        <v>222572.87499999997</v>
      </c>
      <c r="E44" s="1">
        <f t="shared" si="4"/>
        <v>141445.62500000023</v>
      </c>
      <c r="F44" s="1">
        <f t="shared" si="5"/>
        <v>204830.625</v>
      </c>
      <c r="G44" s="1">
        <f t="shared" si="1"/>
        <v>346276.25000000023</v>
      </c>
      <c r="H44" s="1">
        <f t="shared" si="2"/>
        <v>123703.37500000026</v>
      </c>
    </row>
    <row r="45" spans="1:8" x14ac:dyDescent="0.45">
      <c r="A45">
        <v>39</v>
      </c>
      <c r="B45" s="1">
        <v>247477.29166666669</v>
      </c>
      <c r="C45" s="1">
        <f t="shared" si="0"/>
        <v>0</v>
      </c>
      <c r="D45" s="1">
        <f t="shared" si="3"/>
        <v>247477.29166666669</v>
      </c>
      <c r="E45" s="1">
        <f t="shared" si="4"/>
        <v>123703.37500000026</v>
      </c>
      <c r="F45" s="1">
        <f t="shared" si="5"/>
        <v>213880.58333333331</v>
      </c>
      <c r="G45" s="1">
        <f t="shared" si="1"/>
        <v>337583.9583333336</v>
      </c>
      <c r="H45" s="1">
        <f t="shared" si="2"/>
        <v>90106.666666666919</v>
      </c>
    </row>
    <row r="46" spans="1:8" x14ac:dyDescent="0.45">
      <c r="A46">
        <v>40</v>
      </c>
      <c r="B46" s="1">
        <v>264531.625</v>
      </c>
      <c r="C46" s="1">
        <f t="shared" si="0"/>
        <v>0</v>
      </c>
      <c r="D46" s="1">
        <f t="shared" si="3"/>
        <v>264531.625</v>
      </c>
      <c r="E46" s="1">
        <f t="shared" si="4"/>
        <v>90106.666666666919</v>
      </c>
      <c r="F46" s="1">
        <f t="shared" si="5"/>
        <v>218332.08333333331</v>
      </c>
      <c r="G46" s="1">
        <f t="shared" si="1"/>
        <v>308438.75000000023</v>
      </c>
      <c r="H46" s="1">
        <f t="shared" si="2"/>
        <v>43907.125000000233</v>
      </c>
    </row>
    <row r="47" spans="1:8" x14ac:dyDescent="0.45">
      <c r="A47">
        <v>41</v>
      </c>
      <c r="B47" s="1">
        <v>319083.70833333331</v>
      </c>
      <c r="C47" s="1">
        <f t="shared" si="0"/>
        <v>53665.499999999767</v>
      </c>
      <c r="D47" s="1">
        <f t="shared" si="3"/>
        <v>265418.20833333355</v>
      </c>
      <c r="E47" s="1">
        <f t="shared" si="4"/>
        <v>43907.125000000233</v>
      </c>
      <c r="F47" s="1">
        <f t="shared" si="5"/>
        <v>221511.08333333331</v>
      </c>
      <c r="G47" s="1">
        <f t="shared" si="1"/>
        <v>265418.20833333355</v>
      </c>
      <c r="H47" s="1">
        <f t="shared" si="2"/>
        <v>0</v>
      </c>
    </row>
    <row r="48" spans="1:8" x14ac:dyDescent="0.45">
      <c r="A48">
        <v>42</v>
      </c>
      <c r="B48" s="1">
        <v>293496.91666666669</v>
      </c>
      <c r="C48" s="1">
        <f t="shared" si="0"/>
        <v>70924.041666666715</v>
      </c>
      <c r="D48" s="1">
        <f t="shared" si="3"/>
        <v>222572.87499999997</v>
      </c>
      <c r="E48" s="1">
        <f t="shared" si="4"/>
        <v>0</v>
      </c>
      <c r="F48" s="1">
        <f t="shared" si="5"/>
        <v>222572.87499999997</v>
      </c>
      <c r="G48" s="1">
        <f t="shared" si="1"/>
        <v>222572.87499999997</v>
      </c>
      <c r="H48" s="1">
        <f t="shared" si="2"/>
        <v>0</v>
      </c>
    </row>
    <row r="49" spans="1:8" x14ac:dyDescent="0.45">
      <c r="A49">
        <v>43</v>
      </c>
      <c r="B49" s="1">
        <v>237329.66666666669</v>
      </c>
      <c r="C49" s="1">
        <f t="shared" si="0"/>
        <v>0</v>
      </c>
      <c r="D49" s="1">
        <f t="shared" si="3"/>
        <v>237329.66666666669</v>
      </c>
      <c r="E49" s="1">
        <f t="shared" si="4"/>
        <v>0</v>
      </c>
      <c r="F49" s="1">
        <f t="shared" si="5"/>
        <v>247477.29166666669</v>
      </c>
      <c r="G49" s="1">
        <f t="shared" si="1"/>
        <v>247477.29166666669</v>
      </c>
      <c r="H49" s="1">
        <f t="shared" si="2"/>
        <v>10147.625</v>
      </c>
    </row>
    <row r="50" spans="1:8" x14ac:dyDescent="0.45">
      <c r="A50">
        <v>44</v>
      </c>
      <c r="B50" s="1">
        <v>116738.66666666669</v>
      </c>
      <c r="C50" s="1">
        <f t="shared" si="0"/>
        <v>0</v>
      </c>
      <c r="D50" s="1">
        <f t="shared" si="3"/>
        <v>116738.66666666669</v>
      </c>
      <c r="E50" s="1">
        <f t="shared" si="4"/>
        <v>10147.625</v>
      </c>
      <c r="F50" s="1">
        <f t="shared" si="5"/>
        <v>264531.625</v>
      </c>
      <c r="G50" s="1">
        <f t="shared" si="1"/>
        <v>274679.25</v>
      </c>
      <c r="H50" s="1">
        <f t="shared" si="2"/>
        <v>157940.58333333331</v>
      </c>
    </row>
    <row r="51" spans="1:8" x14ac:dyDescent="0.45">
      <c r="A51">
        <v>45</v>
      </c>
      <c r="B51" s="1">
        <v>142105.29166666666</v>
      </c>
      <c r="C51" s="1">
        <f t="shared" si="0"/>
        <v>0</v>
      </c>
      <c r="D51" s="1">
        <f t="shared" si="3"/>
        <v>142105.29166666666</v>
      </c>
      <c r="E51" s="1">
        <f t="shared" si="4"/>
        <v>157940.58333333331</v>
      </c>
      <c r="F51" s="1">
        <f t="shared" si="5"/>
        <v>265418.20833333355</v>
      </c>
      <c r="G51" s="1">
        <f t="shared" si="1"/>
        <v>423358.79166666686</v>
      </c>
      <c r="H51" s="1">
        <f t="shared" si="2"/>
        <v>281253.50000000023</v>
      </c>
    </row>
    <row r="52" spans="1:8" x14ac:dyDescent="0.45">
      <c r="A52">
        <v>46</v>
      </c>
      <c r="B52" s="1">
        <v>106467.70833333334</v>
      </c>
      <c r="C52" s="1">
        <f t="shared" si="0"/>
        <v>0</v>
      </c>
      <c r="D52" s="1">
        <f t="shared" si="3"/>
        <v>106467.70833333334</v>
      </c>
      <c r="E52" s="1">
        <f t="shared" si="4"/>
        <v>281253.50000000023</v>
      </c>
      <c r="F52" s="1">
        <f t="shared" si="5"/>
        <v>222572.87499999997</v>
      </c>
      <c r="G52" s="1">
        <f t="shared" si="1"/>
        <v>503826.37500000023</v>
      </c>
      <c r="H52" s="1">
        <f t="shared" si="2"/>
        <v>397358.66666666686</v>
      </c>
    </row>
    <row r="53" spans="1:8" x14ac:dyDescent="0.45">
      <c r="A53">
        <v>47</v>
      </c>
      <c r="B53" s="1">
        <v>103052.04166666666</v>
      </c>
      <c r="C53" s="1">
        <f t="shared" si="0"/>
        <v>0</v>
      </c>
      <c r="D53" s="1">
        <f t="shared" si="3"/>
        <v>103052.04166666666</v>
      </c>
      <c r="E53" s="1">
        <f t="shared" si="4"/>
        <v>397358.66666666686</v>
      </c>
      <c r="F53" s="1">
        <f t="shared" si="5"/>
        <v>237329.66666666669</v>
      </c>
      <c r="G53" s="1">
        <f t="shared" si="1"/>
        <v>634688.33333333349</v>
      </c>
      <c r="H53" s="1">
        <f t="shared" si="2"/>
        <v>531636.29166666686</v>
      </c>
    </row>
    <row r="54" spans="1:8" x14ac:dyDescent="0.45">
      <c r="A54">
        <v>48</v>
      </c>
      <c r="B54" s="1">
        <v>112209.12499999997</v>
      </c>
      <c r="C54" s="1">
        <f t="shared" si="0"/>
        <v>0</v>
      </c>
      <c r="D54" s="1">
        <f t="shared" si="3"/>
        <v>112209.12499999997</v>
      </c>
      <c r="E54" s="1">
        <f t="shared" si="4"/>
        <v>531636.29166666686</v>
      </c>
      <c r="F54" s="1">
        <f t="shared" si="5"/>
        <v>116738.66666666669</v>
      </c>
      <c r="G54" s="1">
        <f t="shared" si="1"/>
        <v>648374.95833333349</v>
      </c>
      <c r="H54" s="1">
        <f t="shared" si="2"/>
        <v>536165.83333333349</v>
      </c>
    </row>
    <row r="55" spans="1:8" x14ac:dyDescent="0.45">
      <c r="A55">
        <v>49</v>
      </c>
      <c r="B55" s="1">
        <v>82683.25</v>
      </c>
      <c r="C55" s="1">
        <f t="shared" si="0"/>
        <v>0</v>
      </c>
      <c r="D55" s="1">
        <f t="shared" si="3"/>
        <v>82683.25</v>
      </c>
      <c r="E55" s="1">
        <f t="shared" si="4"/>
        <v>536165.83333333349</v>
      </c>
      <c r="F55" s="1">
        <f t="shared" si="5"/>
        <v>142105.29166666666</v>
      </c>
      <c r="G55" s="1">
        <f t="shared" si="1"/>
        <v>678271.12500000012</v>
      </c>
      <c r="H55" s="1">
        <f t="shared" si="2"/>
        <v>595587.87500000012</v>
      </c>
    </row>
    <row r="56" spans="1:8" x14ac:dyDescent="0.45">
      <c r="A56">
        <v>50</v>
      </c>
      <c r="B56" s="1">
        <v>82225.083333333343</v>
      </c>
      <c r="C56" s="1">
        <f t="shared" si="0"/>
        <v>0</v>
      </c>
      <c r="D56" s="1">
        <f t="shared" si="3"/>
        <v>82225.083333333343</v>
      </c>
      <c r="E56" s="1">
        <f t="shared" si="4"/>
        <v>595587.87500000012</v>
      </c>
      <c r="F56" s="1">
        <f t="shared" si="5"/>
        <v>106467.70833333334</v>
      </c>
      <c r="G56" s="1">
        <f t="shared" si="1"/>
        <v>702055.58333333349</v>
      </c>
      <c r="H56" s="1">
        <f t="shared" si="2"/>
        <v>619830.50000000012</v>
      </c>
    </row>
    <row r="57" spans="1:8" x14ac:dyDescent="0.45">
      <c r="A57">
        <v>51</v>
      </c>
      <c r="B57" s="1">
        <v>73529.666666666657</v>
      </c>
      <c r="C57" s="1">
        <f t="shared" si="0"/>
        <v>0</v>
      </c>
      <c r="D57" s="1">
        <f t="shared" si="3"/>
        <v>73529.666666666657</v>
      </c>
      <c r="E57" s="1">
        <f t="shared" si="4"/>
        <v>619830.50000000012</v>
      </c>
      <c r="F57" s="1">
        <f t="shared" si="5"/>
        <v>103052.04166666666</v>
      </c>
      <c r="G57" s="1">
        <f t="shared" si="1"/>
        <v>722882.54166666674</v>
      </c>
      <c r="H57" s="1">
        <f t="shared" si="2"/>
        <v>649352.87500000012</v>
      </c>
    </row>
    <row r="58" spans="1:8" x14ac:dyDescent="0.45">
      <c r="A58">
        <v>52</v>
      </c>
      <c r="B58" s="1">
        <v>41864.208333333336</v>
      </c>
      <c r="C58" s="1">
        <f t="shared" si="0"/>
        <v>0</v>
      </c>
      <c r="D58" s="1">
        <f t="shared" si="3"/>
        <v>41864.208333333336</v>
      </c>
      <c r="E58" s="1">
        <f t="shared" si="4"/>
        <v>649352.87500000012</v>
      </c>
      <c r="F58" s="1">
        <f t="shared" si="5"/>
        <v>112209.12499999997</v>
      </c>
      <c r="G58" s="1">
        <f t="shared" si="1"/>
        <v>761562.00000000012</v>
      </c>
      <c r="H58" s="1">
        <f t="shared" si="2"/>
        <v>719697.79166666674</v>
      </c>
    </row>
  </sheetData>
  <customSheetViews>
    <customSheetView guid="{E5875E06-3B87-4763-A267-4E407281F662}" state="hidden">
      <pane ySplit="6" topLeftCell="A7" activePane="bottomLeft" state="frozen"/>
      <selection pane="bottomLeft" activeCell="F9" sqref="F9"/>
      <pageMargins left="0" right="0" top="0" bottom="0" header="0" footer="0"/>
    </customSheetView>
    <customSheetView guid="{951C2A81-C448-4132-8DA0-FF6693023557}" state="hidden">
      <pane ySplit="6" topLeftCell="A7" activePane="bottomLeft" state="frozen"/>
      <selection pane="bottomLeft" activeCell="F9" sqref="F9"/>
      <pageMargins left="0" right="0" top="0" bottom="0" header="0" footer="0"/>
    </customSheetView>
  </customSheetViews>
  <mergeCells count="1">
    <mergeCell ref="A1:B1"/>
  </mergeCells>
  <pageMargins left="0.7" right="0.7" top="0.78740157499999996" bottom="0.78740157499999996" header="0.3" footer="0.3"/>
  <customProperties>
    <customPr name="layoutContexts" r:id="rId1"/>
  </customProperti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B28F6-2DCA-4B80-A183-C033878F2513}">
  <dimension ref="A1:K58"/>
  <sheetViews>
    <sheetView workbookViewId="0">
      <pane ySplit="6" topLeftCell="A7" activePane="bottomLeft" state="frozen"/>
      <selection pane="bottomLeft" activeCell="F9" sqref="F9"/>
    </sheetView>
  </sheetViews>
  <sheetFormatPr defaultColWidth="11.265625" defaultRowHeight="14.25" x14ac:dyDescent="0.45"/>
  <cols>
    <col min="1" max="1" width="14.73046875" customWidth="1"/>
    <col min="3" max="3" width="16.73046875" bestFit="1" customWidth="1"/>
    <col min="4" max="4" width="13" customWidth="1"/>
    <col min="6" max="6" width="10.73046875" bestFit="1" customWidth="1"/>
    <col min="7" max="7" width="12.73046875" bestFit="1" customWidth="1"/>
  </cols>
  <sheetData>
    <row r="1" spans="1:10" x14ac:dyDescent="0.45">
      <c r="A1" s="66" t="s">
        <v>15</v>
      </c>
      <c r="B1" s="66"/>
      <c r="C1" s="1">
        <f>SUM(B7:B58)</f>
        <v>12936791.666666664</v>
      </c>
      <c r="D1" s="1"/>
      <c r="H1">
        <v>8</v>
      </c>
    </row>
    <row r="2" spans="1:10" x14ac:dyDescent="0.45">
      <c r="A2" t="s">
        <v>16</v>
      </c>
      <c r="B2" s="6"/>
      <c r="C2" s="7">
        <f>C1-C3</f>
        <v>8235394.7083333293</v>
      </c>
      <c r="D2" s="1"/>
      <c r="E2" s="9">
        <f>C2/C1</f>
        <v>0.63658710138719332</v>
      </c>
      <c r="F2" t="s">
        <v>17</v>
      </c>
    </row>
    <row r="3" spans="1:10" x14ac:dyDescent="0.45">
      <c r="A3" t="s">
        <v>18</v>
      </c>
      <c r="C3" s="1">
        <f>SUM(C7:C58)</f>
        <v>4701396.9583333349</v>
      </c>
      <c r="D3" s="1"/>
      <c r="E3" s="6">
        <f>C3/C1</f>
        <v>0.36341289861280668</v>
      </c>
      <c r="F3" t="s">
        <v>17</v>
      </c>
      <c r="G3" s="4"/>
    </row>
    <row r="4" spans="1:10" x14ac:dyDescent="0.45">
      <c r="A4" t="s">
        <v>19</v>
      </c>
      <c r="C4" s="5">
        <v>1000000</v>
      </c>
      <c r="D4" s="1"/>
      <c r="E4" s="10">
        <f>C2/C4</f>
        <v>8.2353947083333292</v>
      </c>
      <c r="F4" t="s">
        <v>20</v>
      </c>
      <c r="G4" s="4"/>
    </row>
    <row r="6" spans="1:10" x14ac:dyDescent="0.45">
      <c r="A6" t="s">
        <v>21</v>
      </c>
      <c r="B6" s="2" t="s">
        <v>22</v>
      </c>
      <c r="C6" t="s">
        <v>23</v>
      </c>
      <c r="D6" s="8" t="s">
        <v>24</v>
      </c>
      <c r="E6" t="s">
        <v>25</v>
      </c>
      <c r="F6" t="s">
        <v>26</v>
      </c>
      <c r="G6" s="3" t="s">
        <v>27</v>
      </c>
      <c r="H6" t="s">
        <v>28</v>
      </c>
    </row>
    <row r="7" spans="1:10" x14ac:dyDescent="0.45">
      <c r="A7">
        <v>1</v>
      </c>
      <c r="B7" s="1">
        <v>59355.333333333328</v>
      </c>
      <c r="C7" s="1">
        <f t="shared" ref="C7:C58" si="0">IF((B7-E7-F7)&lt;0,0,(B7-E7-F7))</f>
        <v>0</v>
      </c>
      <c r="D7" s="1">
        <f>B7-C7</f>
        <v>59355.333333333328</v>
      </c>
      <c r="E7" s="1">
        <f>C4</f>
        <v>1000000</v>
      </c>
      <c r="F7">
        <v>0</v>
      </c>
      <c r="G7" s="1">
        <f t="shared" ref="G7:G58" si="1">E7+F7</f>
        <v>1000000</v>
      </c>
      <c r="H7" s="1">
        <f t="shared" ref="H7:H58" si="2">G7-B7+C7</f>
        <v>940644.66666666663</v>
      </c>
    </row>
    <row r="8" spans="1:10" x14ac:dyDescent="0.45">
      <c r="A8">
        <v>2</v>
      </c>
      <c r="B8" s="1">
        <v>80039.875</v>
      </c>
      <c r="C8" s="1">
        <f t="shared" si="0"/>
        <v>0</v>
      </c>
      <c r="D8" s="1">
        <f t="shared" ref="D8:D58" si="3">B8-C8</f>
        <v>80039.875</v>
      </c>
      <c r="E8" s="1">
        <f>H7</f>
        <v>940644.66666666663</v>
      </c>
      <c r="F8">
        <v>0</v>
      </c>
      <c r="G8" s="1">
        <f t="shared" si="1"/>
        <v>940644.66666666663</v>
      </c>
      <c r="H8" s="1">
        <f t="shared" si="2"/>
        <v>860604.79166666663</v>
      </c>
    </row>
    <row r="9" spans="1:10" x14ac:dyDescent="0.45">
      <c r="A9">
        <v>3</v>
      </c>
      <c r="B9" s="1">
        <v>64938.916666666664</v>
      </c>
      <c r="C9" s="1">
        <f t="shared" si="0"/>
        <v>0</v>
      </c>
      <c r="D9" s="1">
        <f t="shared" si="3"/>
        <v>64938.916666666664</v>
      </c>
      <c r="E9" s="1">
        <f t="shared" ref="E9:E58" si="4">H8</f>
        <v>860604.79166666663</v>
      </c>
      <c r="F9">
        <v>0</v>
      </c>
      <c r="G9" s="1">
        <f t="shared" si="1"/>
        <v>860604.79166666663</v>
      </c>
      <c r="H9" s="1">
        <f t="shared" si="2"/>
        <v>795665.875</v>
      </c>
    </row>
    <row r="10" spans="1:10" x14ac:dyDescent="0.45">
      <c r="A10">
        <v>4</v>
      </c>
      <c r="B10" s="1">
        <v>74428.125</v>
      </c>
      <c r="C10" s="1">
        <f t="shared" si="0"/>
        <v>0</v>
      </c>
      <c r="D10" s="1">
        <f t="shared" si="3"/>
        <v>74428.125</v>
      </c>
      <c r="E10" s="1">
        <f t="shared" si="4"/>
        <v>795665.875</v>
      </c>
      <c r="F10">
        <v>0</v>
      </c>
      <c r="G10" s="1">
        <f t="shared" si="1"/>
        <v>795665.875</v>
      </c>
      <c r="H10" s="1">
        <f t="shared" si="2"/>
        <v>721237.75</v>
      </c>
    </row>
    <row r="11" spans="1:10" x14ac:dyDescent="0.45">
      <c r="A11">
        <v>5</v>
      </c>
      <c r="B11" s="1">
        <v>104839.66666666666</v>
      </c>
      <c r="C11" s="1">
        <f t="shared" si="0"/>
        <v>0</v>
      </c>
      <c r="D11" s="1">
        <f t="shared" si="3"/>
        <v>104839.66666666666</v>
      </c>
      <c r="E11" s="1">
        <f t="shared" si="4"/>
        <v>721237.75</v>
      </c>
      <c r="F11">
        <v>0</v>
      </c>
      <c r="G11" s="1">
        <f t="shared" si="1"/>
        <v>721237.75</v>
      </c>
      <c r="H11" s="1">
        <f t="shared" si="2"/>
        <v>616398.08333333337</v>
      </c>
    </row>
    <row r="12" spans="1:10" x14ac:dyDescent="0.45">
      <c r="A12">
        <v>6</v>
      </c>
      <c r="B12" s="1">
        <v>86002.124999999985</v>
      </c>
      <c r="C12" s="1">
        <f t="shared" si="0"/>
        <v>0</v>
      </c>
      <c r="D12" s="1">
        <f t="shared" si="3"/>
        <v>86002.124999999985</v>
      </c>
      <c r="E12" s="1">
        <f t="shared" si="4"/>
        <v>616398.08333333337</v>
      </c>
      <c r="F12" s="1">
        <f>B7-C7</f>
        <v>59355.333333333328</v>
      </c>
      <c r="G12" s="1">
        <f t="shared" si="1"/>
        <v>675753.41666666674</v>
      </c>
      <c r="H12" s="1">
        <f t="shared" si="2"/>
        <v>589751.29166666674</v>
      </c>
    </row>
    <row r="13" spans="1:10" x14ac:dyDescent="0.45">
      <c r="A13">
        <v>7</v>
      </c>
      <c r="B13" s="1">
        <v>88566.916666666672</v>
      </c>
      <c r="C13" s="1">
        <f t="shared" si="0"/>
        <v>0</v>
      </c>
      <c r="D13" s="1">
        <f>B13-C13</f>
        <v>88566.916666666672</v>
      </c>
      <c r="E13" s="1">
        <f>H12</f>
        <v>589751.29166666674</v>
      </c>
      <c r="F13" s="1">
        <f t="shared" ref="F13:F58" si="5">B8-C8</f>
        <v>80039.875</v>
      </c>
      <c r="G13" s="1">
        <f>E13+F13</f>
        <v>669791.16666666674</v>
      </c>
      <c r="H13" s="1">
        <f t="shared" si="2"/>
        <v>581224.25000000012</v>
      </c>
    </row>
    <row r="14" spans="1:10" x14ac:dyDescent="0.45">
      <c r="A14">
        <v>8</v>
      </c>
      <c r="B14" s="1">
        <v>127594.79166666666</v>
      </c>
      <c r="C14" s="1">
        <f t="shared" si="0"/>
        <v>0</v>
      </c>
      <c r="D14" s="1">
        <f t="shared" si="3"/>
        <v>127594.79166666666</v>
      </c>
      <c r="E14" s="1">
        <f t="shared" si="4"/>
        <v>581224.25000000012</v>
      </c>
      <c r="F14" s="1">
        <f t="shared" si="5"/>
        <v>64938.916666666664</v>
      </c>
      <c r="G14" s="1">
        <f t="shared" si="1"/>
        <v>646163.16666666674</v>
      </c>
      <c r="H14" s="1">
        <f t="shared" si="2"/>
        <v>518568.37500000012</v>
      </c>
    </row>
    <row r="15" spans="1:10" x14ac:dyDescent="0.45">
      <c r="A15">
        <v>9</v>
      </c>
      <c r="B15" s="1">
        <v>73201.416666666672</v>
      </c>
      <c r="C15" s="1">
        <f t="shared" si="0"/>
        <v>0</v>
      </c>
      <c r="D15" s="1">
        <f t="shared" si="3"/>
        <v>73201.416666666672</v>
      </c>
      <c r="E15" s="1">
        <f t="shared" si="4"/>
        <v>518568.37500000012</v>
      </c>
      <c r="F15" s="1">
        <f t="shared" si="5"/>
        <v>74428.125</v>
      </c>
      <c r="G15" s="1">
        <f t="shared" si="1"/>
        <v>592996.50000000012</v>
      </c>
      <c r="H15" s="1">
        <f t="shared" si="2"/>
        <v>519795.08333333343</v>
      </c>
    </row>
    <row r="16" spans="1:10" x14ac:dyDescent="0.45">
      <c r="A16">
        <v>10</v>
      </c>
      <c r="B16" s="1">
        <v>383175.74999999994</v>
      </c>
      <c r="C16" s="1">
        <f t="shared" si="0"/>
        <v>0</v>
      </c>
      <c r="D16" s="1">
        <f t="shared" si="3"/>
        <v>383175.74999999994</v>
      </c>
      <c r="E16" s="1">
        <f t="shared" si="4"/>
        <v>519795.08333333343</v>
      </c>
      <c r="F16" s="1">
        <f t="shared" si="5"/>
        <v>104839.66666666666</v>
      </c>
      <c r="G16" s="1">
        <f t="shared" si="1"/>
        <v>624634.75000000012</v>
      </c>
      <c r="H16" s="1">
        <f t="shared" si="2"/>
        <v>241459.00000000017</v>
      </c>
      <c r="J16" s="1"/>
    </row>
    <row r="17" spans="1:11" x14ac:dyDescent="0.45">
      <c r="A17">
        <v>11</v>
      </c>
      <c r="B17" s="1">
        <v>447325.08333333337</v>
      </c>
      <c r="C17" s="1">
        <f t="shared" si="0"/>
        <v>119863.95833333321</v>
      </c>
      <c r="D17" s="1">
        <f t="shared" si="3"/>
        <v>327461.12500000017</v>
      </c>
      <c r="E17" s="1">
        <f t="shared" si="4"/>
        <v>241459.00000000017</v>
      </c>
      <c r="F17" s="1">
        <f t="shared" si="5"/>
        <v>86002.124999999985</v>
      </c>
      <c r="G17" s="1">
        <f t="shared" si="1"/>
        <v>327461.12500000017</v>
      </c>
      <c r="H17" s="1">
        <f t="shared" si="2"/>
        <v>0</v>
      </c>
      <c r="K17" s="1"/>
    </row>
    <row r="18" spans="1:11" x14ac:dyDescent="0.45">
      <c r="A18">
        <v>12</v>
      </c>
      <c r="B18" s="1">
        <v>384473.20833333331</v>
      </c>
      <c r="C18" s="1">
        <f t="shared" si="0"/>
        <v>295906.29166666663</v>
      </c>
      <c r="D18" s="1">
        <f t="shared" si="3"/>
        <v>88566.916666666686</v>
      </c>
      <c r="E18" s="1">
        <f t="shared" si="4"/>
        <v>0</v>
      </c>
      <c r="F18" s="1">
        <f t="shared" si="5"/>
        <v>88566.916666666672</v>
      </c>
      <c r="G18" s="1">
        <f t="shared" si="1"/>
        <v>88566.916666666672</v>
      </c>
      <c r="H18" s="1">
        <f t="shared" si="2"/>
        <v>0</v>
      </c>
    </row>
    <row r="19" spans="1:11" x14ac:dyDescent="0.45">
      <c r="A19">
        <v>13</v>
      </c>
      <c r="B19" s="1">
        <v>561563.70833333337</v>
      </c>
      <c r="C19" s="1">
        <f t="shared" si="0"/>
        <v>433968.91666666674</v>
      </c>
      <c r="D19" s="1">
        <f t="shared" si="3"/>
        <v>127594.79166666663</v>
      </c>
      <c r="E19" s="1">
        <f t="shared" si="4"/>
        <v>0</v>
      </c>
      <c r="F19" s="1">
        <f t="shared" si="5"/>
        <v>127594.79166666666</v>
      </c>
      <c r="G19" s="1">
        <f t="shared" si="1"/>
        <v>127594.79166666666</v>
      </c>
      <c r="H19" s="1">
        <f t="shared" si="2"/>
        <v>0</v>
      </c>
    </row>
    <row r="20" spans="1:11" x14ac:dyDescent="0.45">
      <c r="A20">
        <v>14</v>
      </c>
      <c r="B20" s="1">
        <v>493802.75000000006</v>
      </c>
      <c r="C20" s="1">
        <f t="shared" si="0"/>
        <v>420601.33333333337</v>
      </c>
      <c r="D20" s="1">
        <f t="shared" si="3"/>
        <v>73201.416666666686</v>
      </c>
      <c r="E20" s="1">
        <f t="shared" si="4"/>
        <v>0</v>
      </c>
      <c r="F20" s="1">
        <f t="shared" si="5"/>
        <v>73201.416666666672</v>
      </c>
      <c r="G20" s="1">
        <f t="shared" si="1"/>
        <v>73201.416666666672</v>
      </c>
      <c r="H20" s="1">
        <f t="shared" si="2"/>
        <v>0</v>
      </c>
    </row>
    <row r="21" spans="1:11" x14ac:dyDescent="0.45">
      <c r="A21">
        <v>15</v>
      </c>
      <c r="B21" s="1">
        <v>565495.125</v>
      </c>
      <c r="C21" s="1">
        <f t="shared" si="0"/>
        <v>182319.37500000006</v>
      </c>
      <c r="D21" s="1">
        <f t="shared" si="3"/>
        <v>383175.74999999994</v>
      </c>
      <c r="E21" s="1">
        <f t="shared" si="4"/>
        <v>0</v>
      </c>
      <c r="F21" s="1">
        <f t="shared" si="5"/>
        <v>383175.74999999994</v>
      </c>
      <c r="G21" s="1">
        <f t="shared" si="1"/>
        <v>383175.74999999994</v>
      </c>
      <c r="H21" s="1">
        <f t="shared" si="2"/>
        <v>0</v>
      </c>
    </row>
    <row r="22" spans="1:11" x14ac:dyDescent="0.45">
      <c r="A22">
        <v>16</v>
      </c>
      <c r="B22" s="1">
        <v>543575.58333333337</v>
      </c>
      <c r="C22" s="1">
        <f t="shared" si="0"/>
        <v>216114.4583333332</v>
      </c>
      <c r="D22" s="1">
        <f t="shared" si="3"/>
        <v>327461.12500000017</v>
      </c>
      <c r="E22" s="1">
        <f t="shared" si="4"/>
        <v>0</v>
      </c>
      <c r="F22" s="1">
        <f t="shared" si="5"/>
        <v>327461.12500000017</v>
      </c>
      <c r="G22" s="1">
        <f t="shared" si="1"/>
        <v>327461.12500000017</v>
      </c>
      <c r="H22" s="1">
        <f t="shared" si="2"/>
        <v>0</v>
      </c>
    </row>
    <row r="23" spans="1:11" x14ac:dyDescent="0.45">
      <c r="A23">
        <v>17</v>
      </c>
      <c r="B23" s="1">
        <v>548139.54166666663</v>
      </c>
      <c r="C23" s="1">
        <f t="shared" si="0"/>
        <v>459572.62499999994</v>
      </c>
      <c r="D23" s="1">
        <f t="shared" si="3"/>
        <v>88566.916666666686</v>
      </c>
      <c r="E23" s="1">
        <f t="shared" si="4"/>
        <v>0</v>
      </c>
      <c r="F23" s="1">
        <f t="shared" si="5"/>
        <v>88566.916666666686</v>
      </c>
      <c r="G23" s="1">
        <f t="shared" si="1"/>
        <v>88566.916666666686</v>
      </c>
      <c r="H23" s="1">
        <f t="shared" si="2"/>
        <v>0</v>
      </c>
    </row>
    <row r="24" spans="1:11" x14ac:dyDescent="0.45">
      <c r="A24">
        <v>18</v>
      </c>
      <c r="B24" s="1">
        <v>625825.83333333337</v>
      </c>
      <c r="C24" s="1">
        <f t="shared" si="0"/>
        <v>498231.04166666674</v>
      </c>
      <c r="D24" s="1">
        <f t="shared" si="3"/>
        <v>127594.79166666663</v>
      </c>
      <c r="E24" s="1">
        <f t="shared" si="4"/>
        <v>0</v>
      </c>
      <c r="F24" s="1">
        <f t="shared" si="5"/>
        <v>127594.79166666663</v>
      </c>
      <c r="G24" s="1">
        <f t="shared" si="1"/>
        <v>127594.79166666663</v>
      </c>
      <c r="H24" s="1">
        <f t="shared" si="2"/>
        <v>0</v>
      </c>
    </row>
    <row r="25" spans="1:11" x14ac:dyDescent="0.45">
      <c r="A25">
        <v>19</v>
      </c>
      <c r="B25" s="1">
        <v>605126.41666666663</v>
      </c>
      <c r="C25" s="1">
        <f t="shared" si="0"/>
        <v>531925</v>
      </c>
      <c r="D25" s="1">
        <f t="shared" si="3"/>
        <v>73201.416666666628</v>
      </c>
      <c r="E25" s="1">
        <f t="shared" si="4"/>
        <v>0</v>
      </c>
      <c r="F25" s="1">
        <f t="shared" si="5"/>
        <v>73201.416666666686</v>
      </c>
      <c r="G25" s="1">
        <f t="shared" si="1"/>
        <v>73201.416666666686</v>
      </c>
      <c r="H25" s="1">
        <f t="shared" si="2"/>
        <v>0</v>
      </c>
    </row>
    <row r="26" spans="1:11" x14ac:dyDescent="0.45">
      <c r="A26">
        <v>20</v>
      </c>
      <c r="B26" s="1">
        <v>603086.08333333337</v>
      </c>
      <c r="C26" s="1">
        <f t="shared" si="0"/>
        <v>219910.33333333343</v>
      </c>
      <c r="D26" s="1">
        <f t="shared" si="3"/>
        <v>383175.74999999994</v>
      </c>
      <c r="E26" s="1">
        <f t="shared" si="4"/>
        <v>0</v>
      </c>
      <c r="F26" s="1">
        <f t="shared" si="5"/>
        <v>383175.74999999994</v>
      </c>
      <c r="G26" s="1">
        <f t="shared" si="1"/>
        <v>383175.74999999994</v>
      </c>
      <c r="H26" s="1">
        <f t="shared" si="2"/>
        <v>0</v>
      </c>
    </row>
    <row r="27" spans="1:11" x14ac:dyDescent="0.45">
      <c r="A27">
        <v>21</v>
      </c>
      <c r="B27" s="1">
        <v>413900.91666666663</v>
      </c>
      <c r="C27" s="1">
        <f t="shared" si="0"/>
        <v>86439.791666666453</v>
      </c>
      <c r="D27" s="1">
        <f t="shared" si="3"/>
        <v>327461.12500000017</v>
      </c>
      <c r="E27" s="1">
        <f t="shared" si="4"/>
        <v>0</v>
      </c>
      <c r="F27" s="1">
        <f t="shared" si="5"/>
        <v>327461.12500000017</v>
      </c>
      <c r="G27" s="1">
        <f t="shared" si="1"/>
        <v>327461.12500000017</v>
      </c>
      <c r="H27" s="1">
        <f t="shared" si="2"/>
        <v>0</v>
      </c>
    </row>
    <row r="28" spans="1:11" x14ac:dyDescent="0.45">
      <c r="A28">
        <v>22</v>
      </c>
      <c r="B28" s="1">
        <v>374202.66666666663</v>
      </c>
      <c r="C28" s="1">
        <f t="shared" si="0"/>
        <v>285635.74999999994</v>
      </c>
      <c r="D28" s="1">
        <f t="shared" si="3"/>
        <v>88566.916666666686</v>
      </c>
      <c r="E28" s="1">
        <f t="shared" si="4"/>
        <v>0</v>
      </c>
      <c r="F28" s="1">
        <f t="shared" si="5"/>
        <v>88566.916666666686</v>
      </c>
      <c r="G28" s="1">
        <f t="shared" si="1"/>
        <v>88566.916666666686</v>
      </c>
      <c r="H28" s="1">
        <f t="shared" si="2"/>
        <v>0</v>
      </c>
    </row>
    <row r="29" spans="1:11" x14ac:dyDescent="0.45">
      <c r="A29">
        <v>23</v>
      </c>
      <c r="B29" s="1">
        <v>382301.33333333337</v>
      </c>
      <c r="C29" s="1">
        <f t="shared" si="0"/>
        <v>254706.54166666674</v>
      </c>
      <c r="D29" s="1">
        <f t="shared" si="3"/>
        <v>127594.79166666663</v>
      </c>
      <c r="E29" s="1">
        <f t="shared" si="4"/>
        <v>0</v>
      </c>
      <c r="F29" s="1">
        <f t="shared" si="5"/>
        <v>127594.79166666663</v>
      </c>
      <c r="G29" s="1">
        <f t="shared" si="1"/>
        <v>127594.79166666663</v>
      </c>
      <c r="H29" s="1">
        <f t="shared" si="2"/>
        <v>0</v>
      </c>
    </row>
    <row r="30" spans="1:11" x14ac:dyDescent="0.45">
      <c r="A30">
        <v>24</v>
      </c>
      <c r="B30" s="1">
        <v>298243.08333333331</v>
      </c>
      <c r="C30" s="1">
        <f t="shared" si="0"/>
        <v>225041.66666666669</v>
      </c>
      <c r="D30" s="1">
        <f t="shared" si="3"/>
        <v>73201.416666666628</v>
      </c>
      <c r="E30" s="1">
        <f t="shared" si="4"/>
        <v>0</v>
      </c>
      <c r="F30" s="1">
        <f t="shared" si="5"/>
        <v>73201.416666666628</v>
      </c>
      <c r="G30" s="1">
        <f t="shared" si="1"/>
        <v>73201.416666666628</v>
      </c>
      <c r="H30" s="1">
        <f t="shared" si="2"/>
        <v>0</v>
      </c>
    </row>
    <row r="31" spans="1:11" x14ac:dyDescent="0.45">
      <c r="A31">
        <v>25</v>
      </c>
      <c r="B31" s="1">
        <v>255567.83333333337</v>
      </c>
      <c r="C31" s="1">
        <f t="shared" si="0"/>
        <v>0</v>
      </c>
      <c r="D31" s="1">
        <f t="shared" si="3"/>
        <v>255567.83333333337</v>
      </c>
      <c r="E31" s="1">
        <f t="shared" si="4"/>
        <v>0</v>
      </c>
      <c r="F31" s="1">
        <f t="shared" si="5"/>
        <v>383175.74999999994</v>
      </c>
      <c r="G31" s="1">
        <f t="shared" si="1"/>
        <v>383175.74999999994</v>
      </c>
      <c r="H31" s="1">
        <f t="shared" si="2"/>
        <v>127607.91666666657</v>
      </c>
    </row>
    <row r="32" spans="1:11" x14ac:dyDescent="0.45">
      <c r="A32">
        <v>26</v>
      </c>
      <c r="B32" s="1">
        <v>216318.20833333331</v>
      </c>
      <c r="C32" s="1">
        <f t="shared" si="0"/>
        <v>0</v>
      </c>
      <c r="D32" s="1">
        <f t="shared" si="3"/>
        <v>216318.20833333331</v>
      </c>
      <c r="E32" s="1">
        <f t="shared" si="4"/>
        <v>127607.91666666657</v>
      </c>
      <c r="F32" s="1">
        <f t="shared" si="5"/>
        <v>327461.12500000017</v>
      </c>
      <c r="G32" s="1">
        <f t="shared" si="1"/>
        <v>455069.04166666674</v>
      </c>
      <c r="H32" s="1">
        <f t="shared" si="2"/>
        <v>238750.83333333343</v>
      </c>
    </row>
    <row r="33" spans="1:8" x14ac:dyDescent="0.45">
      <c r="A33">
        <v>27</v>
      </c>
      <c r="B33" s="1">
        <v>197327.91666666669</v>
      </c>
      <c r="C33" s="1">
        <f t="shared" si="0"/>
        <v>0</v>
      </c>
      <c r="D33" s="1">
        <f t="shared" si="3"/>
        <v>197327.91666666669</v>
      </c>
      <c r="E33" s="1">
        <f t="shared" si="4"/>
        <v>238750.83333333343</v>
      </c>
      <c r="F33" s="1">
        <f t="shared" si="5"/>
        <v>88566.916666666686</v>
      </c>
      <c r="G33" s="1">
        <f t="shared" si="1"/>
        <v>327317.75000000012</v>
      </c>
      <c r="H33" s="1">
        <f t="shared" si="2"/>
        <v>129989.83333333343</v>
      </c>
    </row>
    <row r="34" spans="1:8" x14ac:dyDescent="0.45">
      <c r="A34">
        <v>28</v>
      </c>
      <c r="B34" s="1">
        <v>185426.91666666663</v>
      </c>
      <c r="C34" s="1">
        <f t="shared" si="0"/>
        <v>0</v>
      </c>
      <c r="D34" s="1">
        <f t="shared" si="3"/>
        <v>185426.91666666663</v>
      </c>
      <c r="E34" s="1">
        <f t="shared" si="4"/>
        <v>129989.83333333343</v>
      </c>
      <c r="F34" s="1">
        <f t="shared" si="5"/>
        <v>127594.79166666663</v>
      </c>
      <c r="G34" s="1">
        <f t="shared" si="1"/>
        <v>257584.62500000006</v>
      </c>
      <c r="H34" s="1">
        <f t="shared" si="2"/>
        <v>72157.70833333343</v>
      </c>
    </row>
    <row r="35" spans="1:8" x14ac:dyDescent="0.45">
      <c r="A35">
        <v>29</v>
      </c>
      <c r="B35" s="1">
        <v>173472.54166666663</v>
      </c>
      <c r="C35" s="1">
        <f t="shared" si="0"/>
        <v>28113.41666666657</v>
      </c>
      <c r="D35" s="1">
        <f t="shared" si="3"/>
        <v>145359.12500000006</v>
      </c>
      <c r="E35" s="1">
        <f t="shared" si="4"/>
        <v>72157.70833333343</v>
      </c>
      <c r="F35" s="1">
        <f t="shared" si="5"/>
        <v>73201.416666666628</v>
      </c>
      <c r="G35" s="1">
        <f t="shared" si="1"/>
        <v>145359.12500000006</v>
      </c>
      <c r="H35" s="1">
        <f t="shared" si="2"/>
        <v>0</v>
      </c>
    </row>
    <row r="36" spans="1:8" x14ac:dyDescent="0.45">
      <c r="A36">
        <v>30</v>
      </c>
      <c r="B36" s="1">
        <v>136472.41666666669</v>
      </c>
      <c r="C36" s="1">
        <f t="shared" si="0"/>
        <v>0</v>
      </c>
      <c r="D36" s="1">
        <f t="shared" si="3"/>
        <v>136472.41666666669</v>
      </c>
      <c r="E36" s="1">
        <f>H35</f>
        <v>0</v>
      </c>
      <c r="F36" s="1">
        <f t="shared" si="5"/>
        <v>255567.83333333337</v>
      </c>
      <c r="G36" s="1">
        <f t="shared" si="1"/>
        <v>255567.83333333337</v>
      </c>
      <c r="H36" s="1">
        <f t="shared" si="2"/>
        <v>119095.41666666669</v>
      </c>
    </row>
    <row r="37" spans="1:8" x14ac:dyDescent="0.45">
      <c r="A37">
        <v>31</v>
      </c>
      <c r="B37" s="1">
        <v>136000.25</v>
      </c>
      <c r="C37" s="1">
        <f t="shared" si="0"/>
        <v>0</v>
      </c>
      <c r="D37" s="1">
        <f t="shared" si="3"/>
        <v>136000.25</v>
      </c>
      <c r="E37" s="1">
        <f t="shared" si="4"/>
        <v>119095.41666666669</v>
      </c>
      <c r="F37" s="1">
        <f t="shared" si="5"/>
        <v>216318.20833333331</v>
      </c>
      <c r="G37" s="1">
        <f t="shared" si="1"/>
        <v>335413.625</v>
      </c>
      <c r="H37" s="1">
        <f t="shared" si="2"/>
        <v>199413.375</v>
      </c>
    </row>
    <row r="38" spans="1:8" x14ac:dyDescent="0.45">
      <c r="A38">
        <v>32</v>
      </c>
      <c r="B38" s="1">
        <v>143484.58333333334</v>
      </c>
      <c r="C38" s="1">
        <f t="shared" si="0"/>
        <v>0</v>
      </c>
      <c r="D38" s="1">
        <f t="shared" si="3"/>
        <v>143484.58333333334</v>
      </c>
      <c r="E38" s="1">
        <f t="shared" si="4"/>
        <v>199413.375</v>
      </c>
      <c r="F38" s="1">
        <f t="shared" si="5"/>
        <v>197327.91666666669</v>
      </c>
      <c r="G38" s="1">
        <f t="shared" si="1"/>
        <v>396741.29166666669</v>
      </c>
      <c r="H38" s="1">
        <f t="shared" si="2"/>
        <v>253256.70833333334</v>
      </c>
    </row>
    <row r="39" spans="1:8" x14ac:dyDescent="0.45">
      <c r="A39">
        <v>33</v>
      </c>
      <c r="B39" s="1">
        <v>199595.25</v>
      </c>
      <c r="C39" s="1">
        <f t="shared" si="0"/>
        <v>0</v>
      </c>
      <c r="D39" s="1">
        <f t="shared" si="3"/>
        <v>199595.25</v>
      </c>
      <c r="E39" s="1">
        <f t="shared" si="4"/>
        <v>253256.70833333334</v>
      </c>
      <c r="F39" s="1">
        <f t="shared" si="5"/>
        <v>185426.91666666663</v>
      </c>
      <c r="G39" s="1">
        <f t="shared" si="1"/>
        <v>438683.625</v>
      </c>
      <c r="H39" s="1">
        <f t="shared" si="2"/>
        <v>239088.375</v>
      </c>
    </row>
    <row r="40" spans="1:8" x14ac:dyDescent="0.45">
      <c r="A40">
        <v>34</v>
      </c>
      <c r="B40" s="1">
        <v>204830.625</v>
      </c>
      <c r="C40" s="1">
        <f t="shared" si="0"/>
        <v>0</v>
      </c>
      <c r="D40" s="1">
        <f t="shared" si="3"/>
        <v>204830.625</v>
      </c>
      <c r="E40" s="1">
        <f t="shared" si="4"/>
        <v>239088.375</v>
      </c>
      <c r="F40" s="1">
        <f t="shared" si="5"/>
        <v>145359.12500000006</v>
      </c>
      <c r="G40" s="1">
        <f t="shared" si="1"/>
        <v>384447.50000000006</v>
      </c>
      <c r="H40" s="1">
        <f t="shared" si="2"/>
        <v>179616.87500000006</v>
      </c>
    </row>
    <row r="41" spans="1:8" x14ac:dyDescent="0.45">
      <c r="A41">
        <v>35</v>
      </c>
      <c r="B41" s="1">
        <v>213880.58333333331</v>
      </c>
      <c r="C41" s="1">
        <f t="shared" si="0"/>
        <v>0</v>
      </c>
      <c r="D41" s="1">
        <f t="shared" si="3"/>
        <v>213880.58333333331</v>
      </c>
      <c r="E41" s="1">
        <f t="shared" si="4"/>
        <v>179616.87500000006</v>
      </c>
      <c r="F41" s="1">
        <f t="shared" si="5"/>
        <v>136472.41666666669</v>
      </c>
      <c r="G41" s="1">
        <f t="shared" si="1"/>
        <v>316089.29166666674</v>
      </c>
      <c r="H41" s="1">
        <f t="shared" si="2"/>
        <v>102208.70833333343</v>
      </c>
    </row>
    <row r="42" spans="1:8" x14ac:dyDescent="0.45">
      <c r="A42">
        <v>36</v>
      </c>
      <c r="B42" s="1">
        <v>218332.08333333331</v>
      </c>
      <c r="C42" s="1">
        <f t="shared" si="0"/>
        <v>0</v>
      </c>
      <c r="D42" s="1">
        <f t="shared" si="3"/>
        <v>218332.08333333331</v>
      </c>
      <c r="E42" s="1">
        <f t="shared" si="4"/>
        <v>102208.70833333343</v>
      </c>
      <c r="F42" s="1">
        <f t="shared" si="5"/>
        <v>136000.25</v>
      </c>
      <c r="G42" s="1">
        <f t="shared" si="1"/>
        <v>238208.95833333343</v>
      </c>
      <c r="H42" s="1">
        <f t="shared" si="2"/>
        <v>19876.875000000116</v>
      </c>
    </row>
    <row r="43" spans="1:8" x14ac:dyDescent="0.45">
      <c r="A43">
        <v>37</v>
      </c>
      <c r="B43" s="1">
        <v>221511.08333333331</v>
      </c>
      <c r="C43" s="1">
        <f t="shared" si="0"/>
        <v>58149.624999999854</v>
      </c>
      <c r="D43" s="1">
        <f t="shared" si="3"/>
        <v>163361.45833333346</v>
      </c>
      <c r="E43" s="1">
        <f t="shared" si="4"/>
        <v>19876.875000000116</v>
      </c>
      <c r="F43" s="1">
        <f t="shared" si="5"/>
        <v>143484.58333333334</v>
      </c>
      <c r="G43" s="1">
        <f t="shared" si="1"/>
        <v>163361.45833333346</v>
      </c>
      <c r="H43" s="1">
        <f t="shared" si="2"/>
        <v>0</v>
      </c>
    </row>
    <row r="44" spans="1:8" x14ac:dyDescent="0.45">
      <c r="A44">
        <v>38</v>
      </c>
      <c r="B44" s="1">
        <v>222572.87499999997</v>
      </c>
      <c r="C44" s="1">
        <f t="shared" si="0"/>
        <v>22977.624999999971</v>
      </c>
      <c r="D44" s="1">
        <f t="shared" si="3"/>
        <v>199595.25</v>
      </c>
      <c r="E44" s="1">
        <f t="shared" si="4"/>
        <v>0</v>
      </c>
      <c r="F44" s="1">
        <f t="shared" si="5"/>
        <v>199595.25</v>
      </c>
      <c r="G44" s="1">
        <f t="shared" si="1"/>
        <v>199595.25</v>
      </c>
      <c r="H44" s="1">
        <f t="shared" si="2"/>
        <v>0</v>
      </c>
    </row>
    <row r="45" spans="1:8" x14ac:dyDescent="0.45">
      <c r="A45">
        <v>39</v>
      </c>
      <c r="B45" s="1">
        <v>247477.29166666669</v>
      </c>
      <c r="C45" s="1">
        <f t="shared" si="0"/>
        <v>42646.666666666686</v>
      </c>
      <c r="D45" s="1">
        <f t="shared" si="3"/>
        <v>204830.625</v>
      </c>
      <c r="E45" s="1">
        <f t="shared" si="4"/>
        <v>0</v>
      </c>
      <c r="F45" s="1">
        <f t="shared" si="5"/>
        <v>204830.625</v>
      </c>
      <c r="G45" s="1">
        <f t="shared" si="1"/>
        <v>204830.625</v>
      </c>
      <c r="H45" s="1">
        <f t="shared" si="2"/>
        <v>0</v>
      </c>
    </row>
    <row r="46" spans="1:8" x14ac:dyDescent="0.45">
      <c r="A46">
        <v>40</v>
      </c>
      <c r="B46" s="1">
        <v>264531.625</v>
      </c>
      <c r="C46" s="1">
        <f t="shared" si="0"/>
        <v>50651.041666666686</v>
      </c>
      <c r="D46" s="1">
        <f t="shared" si="3"/>
        <v>213880.58333333331</v>
      </c>
      <c r="E46" s="1">
        <f t="shared" si="4"/>
        <v>0</v>
      </c>
      <c r="F46" s="1">
        <f t="shared" si="5"/>
        <v>213880.58333333331</v>
      </c>
      <c r="G46" s="1">
        <f t="shared" si="1"/>
        <v>213880.58333333331</v>
      </c>
      <c r="H46" s="1">
        <f t="shared" si="2"/>
        <v>0</v>
      </c>
    </row>
    <row r="47" spans="1:8" x14ac:dyDescent="0.45">
      <c r="A47">
        <v>41</v>
      </c>
      <c r="B47" s="1">
        <v>319083.70833333331</v>
      </c>
      <c r="C47" s="1">
        <f t="shared" si="0"/>
        <v>100751.625</v>
      </c>
      <c r="D47" s="1">
        <f t="shared" si="3"/>
        <v>218332.08333333331</v>
      </c>
      <c r="E47" s="1">
        <f t="shared" si="4"/>
        <v>0</v>
      </c>
      <c r="F47" s="1">
        <f t="shared" si="5"/>
        <v>218332.08333333331</v>
      </c>
      <c r="G47" s="1">
        <f t="shared" si="1"/>
        <v>218332.08333333331</v>
      </c>
      <c r="H47" s="1">
        <f t="shared" si="2"/>
        <v>0</v>
      </c>
    </row>
    <row r="48" spans="1:8" x14ac:dyDescent="0.45">
      <c r="A48">
        <v>42</v>
      </c>
      <c r="B48" s="1">
        <v>293496.91666666669</v>
      </c>
      <c r="C48" s="1">
        <f t="shared" si="0"/>
        <v>130135.45833333323</v>
      </c>
      <c r="D48" s="1">
        <f t="shared" si="3"/>
        <v>163361.45833333346</v>
      </c>
      <c r="E48" s="1">
        <f t="shared" si="4"/>
        <v>0</v>
      </c>
      <c r="F48" s="1">
        <f t="shared" si="5"/>
        <v>163361.45833333346</v>
      </c>
      <c r="G48" s="1">
        <f t="shared" si="1"/>
        <v>163361.45833333346</v>
      </c>
      <c r="H48" s="1">
        <f t="shared" si="2"/>
        <v>0</v>
      </c>
    </row>
    <row r="49" spans="1:8" x14ac:dyDescent="0.45">
      <c r="A49">
        <v>43</v>
      </c>
      <c r="B49" s="1">
        <v>237329.66666666669</v>
      </c>
      <c r="C49" s="1">
        <f t="shared" si="0"/>
        <v>37734.416666666686</v>
      </c>
      <c r="D49" s="1">
        <f t="shared" si="3"/>
        <v>199595.25</v>
      </c>
      <c r="E49" s="1">
        <f t="shared" si="4"/>
        <v>0</v>
      </c>
      <c r="F49" s="1">
        <f t="shared" si="5"/>
        <v>199595.25</v>
      </c>
      <c r="G49" s="1">
        <f t="shared" si="1"/>
        <v>199595.25</v>
      </c>
      <c r="H49" s="1">
        <f t="shared" si="2"/>
        <v>0</v>
      </c>
    </row>
    <row r="50" spans="1:8" x14ac:dyDescent="0.45">
      <c r="A50">
        <v>44</v>
      </c>
      <c r="B50" s="1">
        <v>116738.66666666669</v>
      </c>
      <c r="C50" s="1">
        <f t="shared" si="0"/>
        <v>0</v>
      </c>
      <c r="D50" s="1">
        <f t="shared" si="3"/>
        <v>116738.66666666669</v>
      </c>
      <c r="E50" s="1">
        <f t="shared" si="4"/>
        <v>0</v>
      </c>
      <c r="F50" s="1">
        <f t="shared" si="5"/>
        <v>204830.625</v>
      </c>
      <c r="G50" s="1">
        <f t="shared" si="1"/>
        <v>204830.625</v>
      </c>
      <c r="H50" s="1">
        <f t="shared" si="2"/>
        <v>88091.958333333314</v>
      </c>
    </row>
    <row r="51" spans="1:8" x14ac:dyDescent="0.45">
      <c r="A51">
        <v>45</v>
      </c>
      <c r="B51" s="1">
        <v>142105.29166666666</v>
      </c>
      <c r="C51" s="1">
        <f t="shared" si="0"/>
        <v>0</v>
      </c>
      <c r="D51" s="1">
        <f t="shared" si="3"/>
        <v>142105.29166666666</v>
      </c>
      <c r="E51" s="1">
        <f t="shared" si="4"/>
        <v>88091.958333333314</v>
      </c>
      <c r="F51" s="1">
        <f t="shared" si="5"/>
        <v>213880.58333333331</v>
      </c>
      <c r="G51" s="1">
        <f t="shared" si="1"/>
        <v>301972.54166666663</v>
      </c>
      <c r="H51" s="1">
        <f t="shared" si="2"/>
        <v>159867.24999999997</v>
      </c>
    </row>
    <row r="52" spans="1:8" x14ac:dyDescent="0.45">
      <c r="A52">
        <v>46</v>
      </c>
      <c r="B52" s="1">
        <v>106467.70833333334</v>
      </c>
      <c r="C52" s="1">
        <f t="shared" si="0"/>
        <v>0</v>
      </c>
      <c r="D52" s="1">
        <f t="shared" si="3"/>
        <v>106467.70833333334</v>
      </c>
      <c r="E52" s="1">
        <f t="shared" si="4"/>
        <v>159867.24999999997</v>
      </c>
      <c r="F52" s="1">
        <f t="shared" si="5"/>
        <v>218332.08333333331</v>
      </c>
      <c r="G52" s="1">
        <f t="shared" si="1"/>
        <v>378199.33333333326</v>
      </c>
      <c r="H52" s="1">
        <f t="shared" si="2"/>
        <v>271731.62499999988</v>
      </c>
    </row>
    <row r="53" spans="1:8" x14ac:dyDescent="0.45">
      <c r="A53">
        <v>47</v>
      </c>
      <c r="B53" s="1">
        <v>103052.04166666666</v>
      </c>
      <c r="C53" s="1">
        <f t="shared" si="0"/>
        <v>0</v>
      </c>
      <c r="D53" s="1">
        <f t="shared" si="3"/>
        <v>103052.04166666666</v>
      </c>
      <c r="E53" s="1">
        <f t="shared" si="4"/>
        <v>271731.62499999988</v>
      </c>
      <c r="F53" s="1">
        <f t="shared" si="5"/>
        <v>163361.45833333346</v>
      </c>
      <c r="G53" s="1">
        <f t="shared" si="1"/>
        <v>435093.08333333337</v>
      </c>
      <c r="H53" s="1">
        <f t="shared" si="2"/>
        <v>332041.04166666674</v>
      </c>
    </row>
    <row r="54" spans="1:8" x14ac:dyDescent="0.45">
      <c r="A54">
        <v>48</v>
      </c>
      <c r="B54" s="1">
        <v>112209.12499999997</v>
      </c>
      <c r="C54" s="1">
        <f t="shared" si="0"/>
        <v>0</v>
      </c>
      <c r="D54" s="1">
        <f t="shared" si="3"/>
        <v>112209.12499999997</v>
      </c>
      <c r="E54" s="1">
        <f t="shared" si="4"/>
        <v>332041.04166666674</v>
      </c>
      <c r="F54" s="1">
        <f t="shared" si="5"/>
        <v>199595.25</v>
      </c>
      <c r="G54" s="1">
        <f t="shared" si="1"/>
        <v>531636.29166666674</v>
      </c>
      <c r="H54" s="1">
        <f t="shared" si="2"/>
        <v>419427.16666666674</v>
      </c>
    </row>
    <row r="55" spans="1:8" x14ac:dyDescent="0.45">
      <c r="A55">
        <v>49</v>
      </c>
      <c r="B55" s="1">
        <v>82683.25</v>
      </c>
      <c r="C55" s="1">
        <f t="shared" si="0"/>
        <v>0</v>
      </c>
      <c r="D55" s="1">
        <f t="shared" si="3"/>
        <v>82683.25</v>
      </c>
      <c r="E55" s="1">
        <f t="shared" si="4"/>
        <v>419427.16666666674</v>
      </c>
      <c r="F55" s="1">
        <f t="shared" si="5"/>
        <v>116738.66666666669</v>
      </c>
      <c r="G55" s="1">
        <f t="shared" si="1"/>
        <v>536165.83333333349</v>
      </c>
      <c r="H55" s="1">
        <f t="shared" si="2"/>
        <v>453482.58333333349</v>
      </c>
    </row>
    <row r="56" spans="1:8" x14ac:dyDescent="0.45">
      <c r="A56">
        <v>50</v>
      </c>
      <c r="B56" s="1">
        <v>82225.083333333343</v>
      </c>
      <c r="C56" s="1">
        <f t="shared" si="0"/>
        <v>0</v>
      </c>
      <c r="D56" s="1">
        <f t="shared" si="3"/>
        <v>82225.083333333343</v>
      </c>
      <c r="E56" s="1">
        <f t="shared" si="4"/>
        <v>453482.58333333349</v>
      </c>
      <c r="F56" s="1">
        <f t="shared" si="5"/>
        <v>142105.29166666666</v>
      </c>
      <c r="G56" s="1">
        <f t="shared" si="1"/>
        <v>595587.87500000012</v>
      </c>
      <c r="H56" s="1">
        <f t="shared" si="2"/>
        <v>513362.79166666674</v>
      </c>
    </row>
    <row r="57" spans="1:8" x14ac:dyDescent="0.45">
      <c r="A57">
        <v>51</v>
      </c>
      <c r="B57" s="1">
        <v>73529.666666666657</v>
      </c>
      <c r="C57" s="1">
        <f t="shared" si="0"/>
        <v>0</v>
      </c>
      <c r="D57" s="1">
        <f t="shared" si="3"/>
        <v>73529.666666666657</v>
      </c>
      <c r="E57" s="1">
        <f t="shared" si="4"/>
        <v>513362.79166666674</v>
      </c>
      <c r="F57" s="1">
        <f t="shared" si="5"/>
        <v>106467.70833333334</v>
      </c>
      <c r="G57" s="1">
        <f t="shared" si="1"/>
        <v>619830.50000000012</v>
      </c>
      <c r="H57" s="1">
        <f t="shared" si="2"/>
        <v>546300.83333333349</v>
      </c>
    </row>
    <row r="58" spans="1:8" x14ac:dyDescent="0.45">
      <c r="A58">
        <v>52</v>
      </c>
      <c r="B58" s="1">
        <v>41864.208333333336</v>
      </c>
      <c r="C58" s="1">
        <f t="shared" si="0"/>
        <v>0</v>
      </c>
      <c r="D58" s="1">
        <f t="shared" si="3"/>
        <v>41864.208333333336</v>
      </c>
      <c r="E58" s="1">
        <f t="shared" si="4"/>
        <v>546300.83333333349</v>
      </c>
      <c r="F58" s="1">
        <f t="shared" si="5"/>
        <v>103052.04166666666</v>
      </c>
      <c r="G58" s="1">
        <f t="shared" si="1"/>
        <v>649352.87500000012</v>
      </c>
      <c r="H58" s="1">
        <f t="shared" si="2"/>
        <v>607488.66666666674</v>
      </c>
    </row>
  </sheetData>
  <customSheetViews>
    <customSheetView guid="{E5875E06-3B87-4763-A267-4E407281F662}" state="hidden">
      <pane ySplit="6" topLeftCell="A7" activePane="bottomLeft" state="frozen"/>
      <selection pane="bottomLeft" activeCell="F9" sqref="F9"/>
      <pageMargins left="0" right="0" top="0" bottom="0" header="0" footer="0"/>
    </customSheetView>
    <customSheetView guid="{951C2A81-C448-4132-8DA0-FF6693023557}" state="hidden">
      <pane ySplit="6" topLeftCell="A7" activePane="bottomLeft" state="frozen"/>
      <selection pane="bottomLeft" activeCell="F9" sqref="F9"/>
      <pageMargins left="0" right="0" top="0" bottom="0" header="0" footer="0"/>
    </customSheetView>
  </customSheetViews>
  <mergeCells count="1">
    <mergeCell ref="A1:B1"/>
  </mergeCells>
  <pageMargins left="0.7" right="0.7" top="0.78740157499999996" bottom="0.78740157499999996" header="0.3" footer="0.3"/>
  <customProperties>
    <customPr name="layoutContexts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4E925-1B18-43A1-ABB3-C8EE92CA8EAE}">
  <dimension ref="A1:K58"/>
  <sheetViews>
    <sheetView workbookViewId="0">
      <pane ySplit="6" topLeftCell="A7" activePane="bottomLeft" state="frozen"/>
      <selection pane="bottomLeft" activeCell="F9" sqref="F9"/>
    </sheetView>
  </sheetViews>
  <sheetFormatPr defaultColWidth="11.265625" defaultRowHeight="14.25" x14ac:dyDescent="0.45"/>
  <cols>
    <col min="1" max="1" width="14.73046875" customWidth="1"/>
    <col min="3" max="3" width="16.73046875" bestFit="1" customWidth="1"/>
    <col min="4" max="4" width="13" customWidth="1"/>
    <col min="6" max="6" width="10.73046875" bestFit="1" customWidth="1"/>
    <col min="7" max="7" width="12.73046875" bestFit="1" customWidth="1"/>
  </cols>
  <sheetData>
    <row r="1" spans="1:10" x14ac:dyDescent="0.45">
      <c r="A1" s="66" t="s">
        <v>15</v>
      </c>
      <c r="B1" s="66"/>
      <c r="C1" s="1">
        <f>SUM(B7:B58)</f>
        <v>12936791.666666664</v>
      </c>
      <c r="D1" s="1"/>
      <c r="H1">
        <v>8</v>
      </c>
    </row>
    <row r="2" spans="1:10" x14ac:dyDescent="0.45">
      <c r="A2" t="s">
        <v>16</v>
      </c>
      <c r="B2" s="6"/>
      <c r="C2" s="7">
        <f>C1-C3</f>
        <v>7251214.3333333302</v>
      </c>
      <c r="D2" s="1"/>
      <c r="E2" s="9">
        <f>C2/C1</f>
        <v>0.5605110231478051</v>
      </c>
      <c r="F2" t="s">
        <v>17</v>
      </c>
    </row>
    <row r="3" spans="1:10" x14ac:dyDescent="0.45">
      <c r="A3" t="s">
        <v>18</v>
      </c>
      <c r="C3" s="1">
        <f>SUM(C7:C58)</f>
        <v>5685577.333333334</v>
      </c>
      <c r="D3" s="1"/>
      <c r="E3" s="6">
        <f>C3/C1</f>
        <v>0.43948897685219496</v>
      </c>
      <c r="F3" t="s">
        <v>17</v>
      </c>
      <c r="G3" s="4"/>
    </row>
    <row r="4" spans="1:10" x14ac:dyDescent="0.45">
      <c r="A4" t="s">
        <v>19</v>
      </c>
      <c r="C4" s="5">
        <v>1000000</v>
      </c>
      <c r="D4" s="1"/>
      <c r="E4" s="10">
        <f>C2/C4</f>
        <v>7.2512143333333299</v>
      </c>
      <c r="F4" t="s">
        <v>20</v>
      </c>
      <c r="G4" s="4"/>
    </row>
    <row r="6" spans="1:10" x14ac:dyDescent="0.45">
      <c r="A6" t="s">
        <v>21</v>
      </c>
      <c r="B6" s="2" t="s">
        <v>22</v>
      </c>
      <c r="C6" t="s">
        <v>23</v>
      </c>
      <c r="D6" s="8" t="s">
        <v>24</v>
      </c>
      <c r="E6" t="s">
        <v>25</v>
      </c>
      <c r="F6" t="s">
        <v>26</v>
      </c>
      <c r="G6" s="3" t="s">
        <v>27</v>
      </c>
      <c r="H6" t="s">
        <v>28</v>
      </c>
    </row>
    <row r="7" spans="1:10" x14ac:dyDescent="0.45">
      <c r="A7">
        <v>1</v>
      </c>
      <c r="B7" s="1">
        <v>59355.333333333328</v>
      </c>
      <c r="C7" s="1">
        <f t="shared" ref="C7:C58" si="0">IF((B7-E7-F7)&lt;0,0,(B7-E7-F7))</f>
        <v>0</v>
      </c>
      <c r="D7" s="1">
        <f>B7-C7</f>
        <v>59355.333333333328</v>
      </c>
      <c r="E7" s="1">
        <f>C4</f>
        <v>1000000</v>
      </c>
      <c r="F7">
        <v>0</v>
      </c>
      <c r="G7" s="1">
        <f t="shared" ref="G7:G58" si="1">E7+F7</f>
        <v>1000000</v>
      </c>
      <c r="H7" s="1">
        <f t="shared" ref="H7:H58" si="2">G7-B7+C7</f>
        <v>940644.66666666663</v>
      </c>
    </row>
    <row r="8" spans="1:10" x14ac:dyDescent="0.45">
      <c r="A8">
        <v>2</v>
      </c>
      <c r="B8" s="1">
        <v>80039.875</v>
      </c>
      <c r="C8" s="1">
        <f t="shared" si="0"/>
        <v>0</v>
      </c>
      <c r="D8" s="1">
        <f t="shared" ref="D8:D58" si="3">B8-C8</f>
        <v>80039.875</v>
      </c>
      <c r="E8" s="1">
        <f>H7</f>
        <v>940644.66666666663</v>
      </c>
      <c r="F8">
        <v>0</v>
      </c>
      <c r="G8" s="1">
        <f t="shared" si="1"/>
        <v>940644.66666666663</v>
      </c>
      <c r="H8" s="1">
        <f t="shared" si="2"/>
        <v>860604.79166666663</v>
      </c>
    </row>
    <row r="9" spans="1:10" x14ac:dyDescent="0.45">
      <c r="A9">
        <v>3</v>
      </c>
      <c r="B9" s="1">
        <v>64938.916666666664</v>
      </c>
      <c r="C9" s="1">
        <f t="shared" si="0"/>
        <v>0</v>
      </c>
      <c r="D9" s="1">
        <f t="shared" si="3"/>
        <v>64938.916666666664</v>
      </c>
      <c r="E9" s="1">
        <f t="shared" ref="E9:E58" si="4">H8</f>
        <v>860604.79166666663</v>
      </c>
      <c r="F9">
        <v>0</v>
      </c>
      <c r="G9" s="1">
        <f t="shared" si="1"/>
        <v>860604.79166666663</v>
      </c>
      <c r="H9" s="1">
        <f t="shared" si="2"/>
        <v>795665.875</v>
      </c>
    </row>
    <row r="10" spans="1:10" x14ac:dyDescent="0.45">
      <c r="A10">
        <v>4</v>
      </c>
      <c r="B10" s="1">
        <v>74428.125</v>
      </c>
      <c r="C10" s="1">
        <f t="shared" si="0"/>
        <v>0</v>
      </c>
      <c r="D10" s="1">
        <f t="shared" si="3"/>
        <v>74428.125</v>
      </c>
      <c r="E10" s="1">
        <f t="shared" si="4"/>
        <v>795665.875</v>
      </c>
      <c r="F10">
        <v>0</v>
      </c>
      <c r="G10" s="1">
        <f t="shared" si="1"/>
        <v>795665.875</v>
      </c>
      <c r="H10" s="1">
        <f t="shared" si="2"/>
        <v>721237.75</v>
      </c>
    </row>
    <row r="11" spans="1:10" x14ac:dyDescent="0.45">
      <c r="A11">
        <v>5</v>
      </c>
      <c r="B11" s="1">
        <v>104839.66666666666</v>
      </c>
      <c r="C11" s="1">
        <f t="shared" si="0"/>
        <v>0</v>
      </c>
      <c r="D11" s="1">
        <f t="shared" si="3"/>
        <v>104839.66666666666</v>
      </c>
      <c r="E11" s="1">
        <f t="shared" si="4"/>
        <v>721237.75</v>
      </c>
      <c r="F11">
        <v>0</v>
      </c>
      <c r="G11" s="1">
        <f t="shared" si="1"/>
        <v>721237.75</v>
      </c>
      <c r="H11" s="1">
        <f t="shared" si="2"/>
        <v>616398.08333333337</v>
      </c>
    </row>
    <row r="12" spans="1:10" x14ac:dyDescent="0.45">
      <c r="A12">
        <v>6</v>
      </c>
      <c r="B12" s="1">
        <v>86002.124999999985</v>
      </c>
      <c r="C12" s="1">
        <f t="shared" si="0"/>
        <v>0</v>
      </c>
      <c r="D12" s="1">
        <f t="shared" si="3"/>
        <v>86002.124999999985</v>
      </c>
      <c r="E12" s="1">
        <f t="shared" si="4"/>
        <v>616398.08333333337</v>
      </c>
      <c r="F12">
        <v>0</v>
      </c>
      <c r="G12" s="1">
        <f t="shared" si="1"/>
        <v>616398.08333333337</v>
      </c>
      <c r="H12" s="1">
        <f t="shared" si="2"/>
        <v>530395.95833333337</v>
      </c>
    </row>
    <row r="13" spans="1:10" x14ac:dyDescent="0.45">
      <c r="A13">
        <v>7</v>
      </c>
      <c r="B13" s="1">
        <v>88566.916666666672</v>
      </c>
      <c r="C13" s="1">
        <f t="shared" si="0"/>
        <v>0</v>
      </c>
      <c r="D13" s="1">
        <f>B13-C13</f>
        <v>88566.916666666672</v>
      </c>
      <c r="E13" s="1">
        <f>H12</f>
        <v>530395.95833333337</v>
      </c>
      <c r="F13" s="1">
        <f>B7-C7</f>
        <v>59355.333333333328</v>
      </c>
      <c r="G13" s="1">
        <f>E13+F13</f>
        <v>589751.29166666674</v>
      </c>
      <c r="H13" s="1">
        <f t="shared" si="2"/>
        <v>501184.37500000006</v>
      </c>
    </row>
    <row r="14" spans="1:10" x14ac:dyDescent="0.45">
      <c r="A14">
        <v>8</v>
      </c>
      <c r="B14" s="1">
        <v>127594.79166666666</v>
      </c>
      <c r="C14" s="1">
        <f t="shared" si="0"/>
        <v>0</v>
      </c>
      <c r="D14" s="1">
        <f t="shared" si="3"/>
        <v>127594.79166666666</v>
      </c>
      <c r="E14" s="1">
        <f t="shared" si="4"/>
        <v>501184.37500000006</v>
      </c>
      <c r="F14" s="1">
        <f t="shared" ref="F14:F58" si="5">B8-C8</f>
        <v>80039.875</v>
      </c>
      <c r="G14" s="1">
        <f t="shared" si="1"/>
        <v>581224.25</v>
      </c>
      <c r="H14" s="1">
        <f t="shared" si="2"/>
        <v>453629.45833333337</v>
      </c>
    </row>
    <row r="15" spans="1:10" x14ac:dyDescent="0.45">
      <c r="A15">
        <v>9</v>
      </c>
      <c r="B15" s="1">
        <v>73201.416666666672</v>
      </c>
      <c r="C15" s="1">
        <f t="shared" si="0"/>
        <v>0</v>
      </c>
      <c r="D15" s="1">
        <f t="shared" si="3"/>
        <v>73201.416666666672</v>
      </c>
      <c r="E15" s="1">
        <f t="shared" si="4"/>
        <v>453629.45833333337</v>
      </c>
      <c r="F15" s="1">
        <f t="shared" si="5"/>
        <v>64938.916666666664</v>
      </c>
      <c r="G15" s="1">
        <f t="shared" si="1"/>
        <v>518568.37500000006</v>
      </c>
      <c r="H15" s="1">
        <f t="shared" si="2"/>
        <v>445366.95833333337</v>
      </c>
    </row>
    <row r="16" spans="1:10" x14ac:dyDescent="0.45">
      <c r="A16">
        <v>10</v>
      </c>
      <c r="B16" s="1">
        <v>383175.74999999994</v>
      </c>
      <c r="C16" s="1">
        <f t="shared" si="0"/>
        <v>0</v>
      </c>
      <c r="D16" s="1">
        <f t="shared" si="3"/>
        <v>383175.74999999994</v>
      </c>
      <c r="E16" s="1">
        <f t="shared" si="4"/>
        <v>445366.95833333337</v>
      </c>
      <c r="F16" s="1">
        <f t="shared" si="5"/>
        <v>74428.125</v>
      </c>
      <c r="G16" s="1">
        <f t="shared" si="1"/>
        <v>519795.08333333337</v>
      </c>
      <c r="H16" s="1">
        <f t="shared" si="2"/>
        <v>136619.33333333343</v>
      </c>
      <c r="J16" s="1"/>
    </row>
    <row r="17" spans="1:11" x14ac:dyDescent="0.45">
      <c r="A17">
        <v>11</v>
      </c>
      <c r="B17" s="1">
        <v>447325.08333333337</v>
      </c>
      <c r="C17" s="1">
        <f t="shared" si="0"/>
        <v>205866.08333333328</v>
      </c>
      <c r="D17" s="1">
        <f t="shared" si="3"/>
        <v>241459.00000000009</v>
      </c>
      <c r="E17" s="1">
        <f t="shared" si="4"/>
        <v>136619.33333333343</v>
      </c>
      <c r="F17" s="1">
        <f t="shared" si="5"/>
        <v>104839.66666666666</v>
      </c>
      <c r="G17" s="1">
        <f t="shared" si="1"/>
        <v>241459.00000000009</v>
      </c>
      <c r="H17" s="1">
        <f t="shared" si="2"/>
        <v>0</v>
      </c>
      <c r="K17" s="1"/>
    </row>
    <row r="18" spans="1:11" x14ac:dyDescent="0.45">
      <c r="A18">
        <v>12</v>
      </c>
      <c r="B18" s="1">
        <v>384473.20833333331</v>
      </c>
      <c r="C18" s="1">
        <f t="shared" si="0"/>
        <v>298471.08333333331</v>
      </c>
      <c r="D18" s="1">
        <f t="shared" si="3"/>
        <v>86002.125</v>
      </c>
      <c r="E18" s="1">
        <f t="shared" si="4"/>
        <v>0</v>
      </c>
      <c r="F18" s="1">
        <f t="shared" si="5"/>
        <v>86002.124999999985</v>
      </c>
      <c r="G18" s="1">
        <f t="shared" si="1"/>
        <v>86002.124999999985</v>
      </c>
      <c r="H18" s="1">
        <f t="shared" si="2"/>
        <v>0</v>
      </c>
    </row>
    <row r="19" spans="1:11" x14ac:dyDescent="0.45">
      <c r="A19">
        <v>13</v>
      </c>
      <c r="B19" s="1">
        <v>561563.70833333337</v>
      </c>
      <c r="C19" s="1">
        <f t="shared" si="0"/>
        <v>472996.79166666669</v>
      </c>
      <c r="D19" s="1">
        <f t="shared" si="3"/>
        <v>88566.916666666686</v>
      </c>
      <c r="E19" s="1">
        <f t="shared" si="4"/>
        <v>0</v>
      </c>
      <c r="F19" s="1">
        <f t="shared" si="5"/>
        <v>88566.916666666672</v>
      </c>
      <c r="G19" s="1">
        <f t="shared" si="1"/>
        <v>88566.916666666672</v>
      </c>
      <c r="H19" s="1">
        <f t="shared" si="2"/>
        <v>0</v>
      </c>
    </row>
    <row r="20" spans="1:11" x14ac:dyDescent="0.45">
      <c r="A20">
        <v>14</v>
      </c>
      <c r="B20" s="1">
        <v>493802.75000000006</v>
      </c>
      <c r="C20" s="1">
        <f t="shared" si="0"/>
        <v>366207.95833333337</v>
      </c>
      <c r="D20" s="1">
        <f t="shared" si="3"/>
        <v>127594.79166666669</v>
      </c>
      <c r="E20" s="1">
        <f t="shared" si="4"/>
        <v>0</v>
      </c>
      <c r="F20" s="1">
        <f t="shared" si="5"/>
        <v>127594.79166666666</v>
      </c>
      <c r="G20" s="1">
        <f t="shared" si="1"/>
        <v>127594.79166666666</v>
      </c>
      <c r="H20" s="1">
        <f t="shared" si="2"/>
        <v>0</v>
      </c>
    </row>
    <row r="21" spans="1:11" x14ac:dyDescent="0.45">
      <c r="A21">
        <v>15</v>
      </c>
      <c r="B21" s="1">
        <v>565495.125</v>
      </c>
      <c r="C21" s="1">
        <f t="shared" si="0"/>
        <v>492293.70833333331</v>
      </c>
      <c r="D21" s="1">
        <f t="shared" si="3"/>
        <v>73201.416666666686</v>
      </c>
      <c r="E21" s="1">
        <f t="shared" si="4"/>
        <v>0</v>
      </c>
      <c r="F21" s="1">
        <f t="shared" si="5"/>
        <v>73201.416666666672</v>
      </c>
      <c r="G21" s="1">
        <f t="shared" si="1"/>
        <v>73201.416666666672</v>
      </c>
      <c r="H21" s="1">
        <f t="shared" si="2"/>
        <v>0</v>
      </c>
    </row>
    <row r="22" spans="1:11" x14ac:dyDescent="0.45">
      <c r="A22">
        <v>16</v>
      </c>
      <c r="B22" s="1">
        <v>543575.58333333337</v>
      </c>
      <c r="C22" s="1">
        <f t="shared" si="0"/>
        <v>160399.83333333343</v>
      </c>
      <c r="D22" s="1">
        <f t="shared" si="3"/>
        <v>383175.74999999994</v>
      </c>
      <c r="E22" s="1">
        <f t="shared" si="4"/>
        <v>0</v>
      </c>
      <c r="F22" s="1">
        <f t="shared" si="5"/>
        <v>383175.74999999994</v>
      </c>
      <c r="G22" s="1">
        <f t="shared" si="1"/>
        <v>383175.74999999994</v>
      </c>
      <c r="H22" s="1">
        <f t="shared" si="2"/>
        <v>0</v>
      </c>
    </row>
    <row r="23" spans="1:11" x14ac:dyDescent="0.45">
      <c r="A23">
        <v>17</v>
      </c>
      <c r="B23" s="1">
        <v>548139.54166666663</v>
      </c>
      <c r="C23" s="1">
        <f t="shared" si="0"/>
        <v>306680.54166666651</v>
      </c>
      <c r="D23" s="1">
        <f t="shared" si="3"/>
        <v>241459.00000000012</v>
      </c>
      <c r="E23" s="1">
        <f t="shared" si="4"/>
        <v>0</v>
      </c>
      <c r="F23" s="1">
        <f t="shared" si="5"/>
        <v>241459.00000000009</v>
      </c>
      <c r="G23" s="1">
        <f t="shared" si="1"/>
        <v>241459.00000000009</v>
      </c>
      <c r="H23" s="1">
        <f t="shared" si="2"/>
        <v>0</v>
      </c>
    </row>
    <row r="24" spans="1:11" x14ac:dyDescent="0.45">
      <c r="A24">
        <v>18</v>
      </c>
      <c r="B24" s="1">
        <v>625825.83333333337</v>
      </c>
      <c r="C24" s="1">
        <f t="shared" si="0"/>
        <v>539823.70833333337</v>
      </c>
      <c r="D24" s="1">
        <f t="shared" si="3"/>
        <v>86002.125</v>
      </c>
      <c r="E24" s="1">
        <f t="shared" si="4"/>
        <v>0</v>
      </c>
      <c r="F24" s="1">
        <f t="shared" si="5"/>
        <v>86002.125</v>
      </c>
      <c r="G24" s="1">
        <f t="shared" si="1"/>
        <v>86002.125</v>
      </c>
      <c r="H24" s="1">
        <f t="shared" si="2"/>
        <v>0</v>
      </c>
    </row>
    <row r="25" spans="1:11" x14ac:dyDescent="0.45">
      <c r="A25">
        <v>19</v>
      </c>
      <c r="B25" s="1">
        <v>605126.41666666663</v>
      </c>
      <c r="C25" s="1">
        <f t="shared" si="0"/>
        <v>516559.49999999994</v>
      </c>
      <c r="D25" s="1">
        <f t="shared" si="3"/>
        <v>88566.916666666686</v>
      </c>
      <c r="E25" s="1">
        <f t="shared" si="4"/>
        <v>0</v>
      </c>
      <c r="F25" s="1">
        <f t="shared" si="5"/>
        <v>88566.916666666686</v>
      </c>
      <c r="G25" s="1">
        <f t="shared" si="1"/>
        <v>88566.916666666686</v>
      </c>
      <c r="H25" s="1">
        <f t="shared" si="2"/>
        <v>0</v>
      </c>
    </row>
    <row r="26" spans="1:11" x14ac:dyDescent="0.45">
      <c r="A26">
        <v>20</v>
      </c>
      <c r="B26" s="1">
        <v>603086.08333333337</v>
      </c>
      <c r="C26" s="1">
        <f t="shared" si="0"/>
        <v>475491.29166666669</v>
      </c>
      <c r="D26" s="1">
        <f t="shared" si="3"/>
        <v>127594.79166666669</v>
      </c>
      <c r="E26" s="1">
        <f t="shared" si="4"/>
        <v>0</v>
      </c>
      <c r="F26" s="1">
        <f t="shared" si="5"/>
        <v>127594.79166666669</v>
      </c>
      <c r="G26" s="1">
        <f t="shared" si="1"/>
        <v>127594.79166666669</v>
      </c>
      <c r="H26" s="1">
        <f t="shared" si="2"/>
        <v>0</v>
      </c>
    </row>
    <row r="27" spans="1:11" x14ac:dyDescent="0.45">
      <c r="A27">
        <v>21</v>
      </c>
      <c r="B27" s="1">
        <v>413900.91666666663</v>
      </c>
      <c r="C27" s="1">
        <f t="shared" si="0"/>
        <v>340699.49999999994</v>
      </c>
      <c r="D27" s="1">
        <f t="shared" si="3"/>
        <v>73201.416666666686</v>
      </c>
      <c r="E27" s="1">
        <f t="shared" si="4"/>
        <v>0</v>
      </c>
      <c r="F27" s="1">
        <f t="shared" si="5"/>
        <v>73201.416666666686</v>
      </c>
      <c r="G27" s="1">
        <f t="shared" si="1"/>
        <v>73201.416666666686</v>
      </c>
      <c r="H27" s="1">
        <f t="shared" si="2"/>
        <v>0</v>
      </c>
    </row>
    <row r="28" spans="1:11" x14ac:dyDescent="0.45">
      <c r="A28">
        <v>22</v>
      </c>
      <c r="B28" s="1">
        <v>374202.66666666663</v>
      </c>
      <c r="C28" s="1">
        <f t="shared" si="0"/>
        <v>0</v>
      </c>
      <c r="D28" s="1">
        <f t="shared" si="3"/>
        <v>374202.66666666663</v>
      </c>
      <c r="E28" s="1">
        <f t="shared" si="4"/>
        <v>0</v>
      </c>
      <c r="F28" s="1">
        <f t="shared" si="5"/>
        <v>383175.74999999994</v>
      </c>
      <c r="G28" s="1">
        <f t="shared" si="1"/>
        <v>383175.74999999994</v>
      </c>
      <c r="H28" s="1">
        <f t="shared" si="2"/>
        <v>8973.0833333333139</v>
      </c>
    </row>
    <row r="29" spans="1:11" x14ac:dyDescent="0.45">
      <c r="A29">
        <v>23</v>
      </c>
      <c r="B29" s="1">
        <v>382301.33333333337</v>
      </c>
      <c r="C29" s="1">
        <f t="shared" si="0"/>
        <v>131869.24999999994</v>
      </c>
      <c r="D29" s="1">
        <f t="shared" si="3"/>
        <v>250432.08333333343</v>
      </c>
      <c r="E29" s="1">
        <f t="shared" si="4"/>
        <v>8973.0833333333139</v>
      </c>
      <c r="F29" s="1">
        <f t="shared" si="5"/>
        <v>241459.00000000012</v>
      </c>
      <c r="G29" s="1">
        <f t="shared" si="1"/>
        <v>250432.08333333343</v>
      </c>
      <c r="H29" s="1">
        <f t="shared" si="2"/>
        <v>0</v>
      </c>
    </row>
    <row r="30" spans="1:11" x14ac:dyDescent="0.45">
      <c r="A30">
        <v>24</v>
      </c>
      <c r="B30" s="1">
        <v>298243.08333333331</v>
      </c>
      <c r="C30" s="1">
        <f t="shared" si="0"/>
        <v>212240.95833333331</v>
      </c>
      <c r="D30" s="1">
        <f t="shared" si="3"/>
        <v>86002.125</v>
      </c>
      <c r="E30" s="1">
        <f t="shared" si="4"/>
        <v>0</v>
      </c>
      <c r="F30" s="1">
        <f t="shared" si="5"/>
        <v>86002.125</v>
      </c>
      <c r="G30" s="1">
        <f t="shared" si="1"/>
        <v>86002.125</v>
      </c>
      <c r="H30" s="1">
        <f t="shared" si="2"/>
        <v>0</v>
      </c>
    </row>
    <row r="31" spans="1:11" x14ac:dyDescent="0.45">
      <c r="A31">
        <v>25</v>
      </c>
      <c r="B31" s="1">
        <v>255567.83333333337</v>
      </c>
      <c r="C31" s="1">
        <f t="shared" si="0"/>
        <v>167000.91666666669</v>
      </c>
      <c r="D31" s="1">
        <f t="shared" si="3"/>
        <v>88566.916666666686</v>
      </c>
      <c r="E31" s="1">
        <f t="shared" si="4"/>
        <v>0</v>
      </c>
      <c r="F31" s="1">
        <f t="shared" si="5"/>
        <v>88566.916666666686</v>
      </c>
      <c r="G31" s="1">
        <f t="shared" si="1"/>
        <v>88566.916666666686</v>
      </c>
      <c r="H31" s="1">
        <f t="shared" si="2"/>
        <v>0</v>
      </c>
    </row>
    <row r="32" spans="1:11" x14ac:dyDescent="0.45">
      <c r="A32">
        <v>26</v>
      </c>
      <c r="B32" s="1">
        <v>216318.20833333331</v>
      </c>
      <c r="C32" s="1">
        <f t="shared" si="0"/>
        <v>88723.416666666628</v>
      </c>
      <c r="D32" s="1">
        <f t="shared" si="3"/>
        <v>127594.79166666669</v>
      </c>
      <c r="E32" s="1">
        <f t="shared" si="4"/>
        <v>0</v>
      </c>
      <c r="F32" s="1">
        <f t="shared" si="5"/>
        <v>127594.79166666669</v>
      </c>
      <c r="G32" s="1">
        <f t="shared" si="1"/>
        <v>127594.79166666669</v>
      </c>
      <c r="H32" s="1">
        <f t="shared" si="2"/>
        <v>0</v>
      </c>
    </row>
    <row r="33" spans="1:8" x14ac:dyDescent="0.45">
      <c r="A33">
        <v>27</v>
      </c>
      <c r="B33" s="1">
        <v>197327.91666666669</v>
      </c>
      <c r="C33" s="1">
        <f t="shared" si="0"/>
        <v>124126.5</v>
      </c>
      <c r="D33" s="1">
        <f t="shared" si="3"/>
        <v>73201.416666666686</v>
      </c>
      <c r="E33" s="1">
        <f t="shared" si="4"/>
        <v>0</v>
      </c>
      <c r="F33" s="1">
        <f t="shared" si="5"/>
        <v>73201.416666666686</v>
      </c>
      <c r="G33" s="1">
        <f t="shared" si="1"/>
        <v>73201.416666666686</v>
      </c>
      <c r="H33" s="1">
        <f t="shared" si="2"/>
        <v>0</v>
      </c>
    </row>
    <row r="34" spans="1:8" x14ac:dyDescent="0.45">
      <c r="A34">
        <v>28</v>
      </c>
      <c r="B34" s="1">
        <v>185426.91666666663</v>
      </c>
      <c r="C34" s="1">
        <f t="shared" si="0"/>
        <v>0</v>
      </c>
      <c r="D34" s="1">
        <f t="shared" si="3"/>
        <v>185426.91666666663</v>
      </c>
      <c r="E34" s="1">
        <f t="shared" si="4"/>
        <v>0</v>
      </c>
      <c r="F34" s="1">
        <f t="shared" si="5"/>
        <v>374202.66666666663</v>
      </c>
      <c r="G34" s="1">
        <f t="shared" si="1"/>
        <v>374202.66666666663</v>
      </c>
      <c r="H34" s="1">
        <f t="shared" si="2"/>
        <v>188775.75</v>
      </c>
    </row>
    <row r="35" spans="1:8" x14ac:dyDescent="0.45">
      <c r="A35">
        <v>29</v>
      </c>
      <c r="B35" s="1">
        <v>173472.54166666663</v>
      </c>
      <c r="C35" s="1">
        <f t="shared" si="0"/>
        <v>0</v>
      </c>
      <c r="D35" s="1">
        <f t="shared" si="3"/>
        <v>173472.54166666663</v>
      </c>
      <c r="E35" s="1">
        <f t="shared" si="4"/>
        <v>188775.75</v>
      </c>
      <c r="F35" s="1">
        <f t="shared" si="5"/>
        <v>250432.08333333343</v>
      </c>
      <c r="G35" s="1">
        <f t="shared" si="1"/>
        <v>439207.83333333343</v>
      </c>
      <c r="H35" s="1">
        <f t="shared" si="2"/>
        <v>265735.2916666668</v>
      </c>
    </row>
    <row r="36" spans="1:8" x14ac:dyDescent="0.45">
      <c r="A36">
        <v>30</v>
      </c>
      <c r="B36" s="1">
        <v>136472.41666666669</v>
      </c>
      <c r="C36" s="1">
        <f t="shared" si="0"/>
        <v>0</v>
      </c>
      <c r="D36" s="1">
        <f t="shared" si="3"/>
        <v>136472.41666666669</v>
      </c>
      <c r="E36" s="1">
        <f t="shared" si="4"/>
        <v>265735.2916666668</v>
      </c>
      <c r="F36" s="1">
        <f t="shared" si="5"/>
        <v>86002.125</v>
      </c>
      <c r="G36" s="1">
        <f t="shared" si="1"/>
        <v>351737.4166666668</v>
      </c>
      <c r="H36" s="1">
        <f t="shared" si="2"/>
        <v>215265.00000000012</v>
      </c>
    </row>
    <row r="37" spans="1:8" x14ac:dyDescent="0.45">
      <c r="A37">
        <v>31</v>
      </c>
      <c r="B37" s="1">
        <v>136000.25</v>
      </c>
      <c r="C37" s="1">
        <f t="shared" si="0"/>
        <v>0</v>
      </c>
      <c r="D37" s="1">
        <f t="shared" si="3"/>
        <v>136000.25</v>
      </c>
      <c r="E37" s="1">
        <f t="shared" si="4"/>
        <v>215265.00000000012</v>
      </c>
      <c r="F37" s="1">
        <f t="shared" si="5"/>
        <v>88566.916666666686</v>
      </c>
      <c r="G37" s="1">
        <f t="shared" si="1"/>
        <v>303831.9166666668</v>
      </c>
      <c r="H37" s="1">
        <f t="shared" si="2"/>
        <v>167831.6666666668</v>
      </c>
    </row>
    <row r="38" spans="1:8" x14ac:dyDescent="0.45">
      <c r="A38">
        <v>32</v>
      </c>
      <c r="B38" s="1">
        <v>143484.58333333334</v>
      </c>
      <c r="C38" s="1">
        <f t="shared" si="0"/>
        <v>0</v>
      </c>
      <c r="D38" s="1">
        <f t="shared" si="3"/>
        <v>143484.58333333334</v>
      </c>
      <c r="E38" s="1">
        <f t="shared" si="4"/>
        <v>167831.6666666668</v>
      </c>
      <c r="F38" s="1">
        <f t="shared" si="5"/>
        <v>127594.79166666669</v>
      </c>
      <c r="G38" s="1">
        <f t="shared" si="1"/>
        <v>295426.45833333349</v>
      </c>
      <c r="H38" s="1">
        <f t="shared" si="2"/>
        <v>151941.87500000015</v>
      </c>
    </row>
    <row r="39" spans="1:8" x14ac:dyDescent="0.45">
      <c r="A39">
        <v>33</v>
      </c>
      <c r="B39" s="1">
        <v>199595.25</v>
      </c>
      <c r="C39" s="1">
        <f t="shared" si="0"/>
        <v>0</v>
      </c>
      <c r="D39" s="1">
        <f t="shared" si="3"/>
        <v>199595.25</v>
      </c>
      <c r="E39" s="1">
        <f t="shared" si="4"/>
        <v>151941.87500000015</v>
      </c>
      <c r="F39" s="1">
        <f t="shared" si="5"/>
        <v>73201.416666666686</v>
      </c>
      <c r="G39" s="1">
        <f t="shared" si="1"/>
        <v>225143.29166666683</v>
      </c>
      <c r="H39" s="1">
        <f t="shared" si="2"/>
        <v>25548.041666666832</v>
      </c>
    </row>
    <row r="40" spans="1:8" x14ac:dyDescent="0.45">
      <c r="A40">
        <v>34</v>
      </c>
      <c r="B40" s="1">
        <v>204830.625</v>
      </c>
      <c r="C40" s="1">
        <f t="shared" si="0"/>
        <v>0</v>
      </c>
      <c r="D40" s="1">
        <f t="shared" si="3"/>
        <v>204830.625</v>
      </c>
      <c r="E40" s="1">
        <f t="shared" si="4"/>
        <v>25548.041666666832</v>
      </c>
      <c r="F40" s="1">
        <f t="shared" si="5"/>
        <v>185426.91666666663</v>
      </c>
      <c r="G40" s="1">
        <f t="shared" si="1"/>
        <v>210974.95833333346</v>
      </c>
      <c r="H40" s="1">
        <f t="shared" si="2"/>
        <v>6144.3333333334594</v>
      </c>
    </row>
    <row r="41" spans="1:8" x14ac:dyDescent="0.45">
      <c r="A41">
        <v>35</v>
      </c>
      <c r="B41" s="1">
        <v>213880.58333333331</v>
      </c>
      <c r="C41" s="1">
        <f t="shared" si="0"/>
        <v>34263.708333333227</v>
      </c>
      <c r="D41" s="1">
        <f t="shared" si="3"/>
        <v>179616.87500000009</v>
      </c>
      <c r="E41" s="1">
        <f t="shared" si="4"/>
        <v>6144.3333333334594</v>
      </c>
      <c r="F41" s="1">
        <f t="shared" si="5"/>
        <v>173472.54166666663</v>
      </c>
      <c r="G41" s="1">
        <f t="shared" si="1"/>
        <v>179616.87500000009</v>
      </c>
      <c r="H41" s="1">
        <f t="shared" si="2"/>
        <v>0</v>
      </c>
    </row>
    <row r="42" spans="1:8" x14ac:dyDescent="0.45">
      <c r="A42">
        <v>36</v>
      </c>
      <c r="B42" s="1">
        <v>218332.08333333331</v>
      </c>
      <c r="C42" s="1">
        <f t="shared" si="0"/>
        <v>81859.666666666628</v>
      </c>
      <c r="D42" s="1">
        <f t="shared" si="3"/>
        <v>136472.41666666669</v>
      </c>
      <c r="E42" s="1">
        <f t="shared" si="4"/>
        <v>0</v>
      </c>
      <c r="F42" s="1">
        <f t="shared" si="5"/>
        <v>136472.41666666669</v>
      </c>
      <c r="G42" s="1">
        <f t="shared" si="1"/>
        <v>136472.41666666669</v>
      </c>
      <c r="H42" s="1">
        <f t="shared" si="2"/>
        <v>0</v>
      </c>
    </row>
    <row r="43" spans="1:8" x14ac:dyDescent="0.45">
      <c r="A43">
        <v>37</v>
      </c>
      <c r="B43" s="1">
        <v>221511.08333333331</v>
      </c>
      <c r="C43" s="1">
        <f t="shared" si="0"/>
        <v>85510.833333333314</v>
      </c>
      <c r="D43" s="1">
        <f t="shared" si="3"/>
        <v>136000.25</v>
      </c>
      <c r="E43" s="1">
        <f t="shared" si="4"/>
        <v>0</v>
      </c>
      <c r="F43" s="1">
        <f t="shared" si="5"/>
        <v>136000.25</v>
      </c>
      <c r="G43" s="1">
        <f t="shared" si="1"/>
        <v>136000.25</v>
      </c>
      <c r="H43" s="1">
        <f t="shared" si="2"/>
        <v>0</v>
      </c>
    </row>
    <row r="44" spans="1:8" x14ac:dyDescent="0.45">
      <c r="A44">
        <v>38</v>
      </c>
      <c r="B44" s="1">
        <v>222572.87499999997</v>
      </c>
      <c r="C44" s="1">
        <f t="shared" si="0"/>
        <v>79088.291666666628</v>
      </c>
      <c r="D44" s="1">
        <f t="shared" si="3"/>
        <v>143484.58333333334</v>
      </c>
      <c r="E44" s="1">
        <f t="shared" si="4"/>
        <v>0</v>
      </c>
      <c r="F44" s="1">
        <f t="shared" si="5"/>
        <v>143484.58333333334</v>
      </c>
      <c r="G44" s="1">
        <f t="shared" si="1"/>
        <v>143484.58333333334</v>
      </c>
      <c r="H44" s="1">
        <f t="shared" si="2"/>
        <v>0</v>
      </c>
    </row>
    <row r="45" spans="1:8" x14ac:dyDescent="0.45">
      <c r="A45">
        <v>39</v>
      </c>
      <c r="B45" s="1">
        <v>247477.29166666669</v>
      </c>
      <c r="C45" s="1">
        <f t="shared" si="0"/>
        <v>47882.041666666686</v>
      </c>
      <c r="D45" s="1">
        <f t="shared" si="3"/>
        <v>199595.25</v>
      </c>
      <c r="E45" s="1">
        <f t="shared" si="4"/>
        <v>0</v>
      </c>
      <c r="F45" s="1">
        <f t="shared" si="5"/>
        <v>199595.25</v>
      </c>
      <c r="G45" s="1">
        <f t="shared" si="1"/>
        <v>199595.25</v>
      </c>
      <c r="H45" s="1">
        <f t="shared" si="2"/>
        <v>0</v>
      </c>
    </row>
    <row r="46" spans="1:8" x14ac:dyDescent="0.45">
      <c r="A46">
        <v>40</v>
      </c>
      <c r="B46" s="1">
        <v>264531.625</v>
      </c>
      <c r="C46" s="1">
        <f t="shared" si="0"/>
        <v>59701</v>
      </c>
      <c r="D46" s="1">
        <f t="shared" si="3"/>
        <v>204830.625</v>
      </c>
      <c r="E46" s="1">
        <f t="shared" si="4"/>
        <v>0</v>
      </c>
      <c r="F46" s="1">
        <f t="shared" si="5"/>
        <v>204830.625</v>
      </c>
      <c r="G46" s="1">
        <f t="shared" si="1"/>
        <v>204830.625</v>
      </c>
      <c r="H46" s="1">
        <f t="shared" si="2"/>
        <v>0</v>
      </c>
    </row>
    <row r="47" spans="1:8" x14ac:dyDescent="0.45">
      <c r="A47">
        <v>41</v>
      </c>
      <c r="B47" s="1">
        <v>319083.70833333331</v>
      </c>
      <c r="C47" s="1">
        <f t="shared" si="0"/>
        <v>139466.83333333323</v>
      </c>
      <c r="D47" s="1">
        <f t="shared" si="3"/>
        <v>179616.87500000009</v>
      </c>
      <c r="E47" s="1">
        <f t="shared" si="4"/>
        <v>0</v>
      </c>
      <c r="F47" s="1">
        <f t="shared" si="5"/>
        <v>179616.87500000009</v>
      </c>
      <c r="G47" s="1">
        <f t="shared" si="1"/>
        <v>179616.87500000009</v>
      </c>
      <c r="H47" s="1">
        <f t="shared" si="2"/>
        <v>0</v>
      </c>
    </row>
    <row r="48" spans="1:8" x14ac:dyDescent="0.45">
      <c r="A48">
        <v>42</v>
      </c>
      <c r="B48" s="1">
        <v>293496.91666666669</v>
      </c>
      <c r="C48" s="1">
        <f t="shared" si="0"/>
        <v>157024.5</v>
      </c>
      <c r="D48" s="1">
        <f t="shared" si="3"/>
        <v>136472.41666666669</v>
      </c>
      <c r="E48" s="1">
        <f t="shared" si="4"/>
        <v>0</v>
      </c>
      <c r="F48" s="1">
        <f t="shared" si="5"/>
        <v>136472.41666666669</v>
      </c>
      <c r="G48" s="1">
        <f t="shared" si="1"/>
        <v>136472.41666666669</v>
      </c>
      <c r="H48" s="1">
        <f t="shared" si="2"/>
        <v>0</v>
      </c>
    </row>
    <row r="49" spans="1:8" x14ac:dyDescent="0.45">
      <c r="A49">
        <v>43</v>
      </c>
      <c r="B49" s="1">
        <v>237329.66666666669</v>
      </c>
      <c r="C49" s="1">
        <f t="shared" si="0"/>
        <v>101329.41666666669</v>
      </c>
      <c r="D49" s="1">
        <f t="shared" si="3"/>
        <v>136000.25</v>
      </c>
      <c r="E49" s="1">
        <f t="shared" si="4"/>
        <v>0</v>
      </c>
      <c r="F49" s="1">
        <f t="shared" si="5"/>
        <v>136000.25</v>
      </c>
      <c r="G49" s="1">
        <f t="shared" si="1"/>
        <v>136000.25</v>
      </c>
      <c r="H49" s="1">
        <f t="shared" si="2"/>
        <v>0</v>
      </c>
    </row>
    <row r="50" spans="1:8" x14ac:dyDescent="0.45">
      <c r="A50">
        <v>44</v>
      </c>
      <c r="B50" s="1">
        <v>116738.66666666669</v>
      </c>
      <c r="C50" s="1">
        <f t="shared" si="0"/>
        <v>0</v>
      </c>
      <c r="D50" s="1">
        <f t="shared" si="3"/>
        <v>116738.66666666669</v>
      </c>
      <c r="E50" s="1">
        <f t="shared" si="4"/>
        <v>0</v>
      </c>
      <c r="F50" s="1">
        <f t="shared" si="5"/>
        <v>143484.58333333334</v>
      </c>
      <c r="G50" s="1">
        <f t="shared" si="1"/>
        <v>143484.58333333334</v>
      </c>
      <c r="H50" s="1">
        <f t="shared" si="2"/>
        <v>26745.916666666657</v>
      </c>
    </row>
    <row r="51" spans="1:8" x14ac:dyDescent="0.45">
      <c r="A51">
        <v>45</v>
      </c>
      <c r="B51" s="1">
        <v>142105.29166666666</v>
      </c>
      <c r="C51" s="1">
        <f t="shared" si="0"/>
        <v>0</v>
      </c>
      <c r="D51" s="1">
        <f t="shared" si="3"/>
        <v>142105.29166666666</v>
      </c>
      <c r="E51" s="1">
        <f t="shared" si="4"/>
        <v>26745.916666666657</v>
      </c>
      <c r="F51" s="1">
        <f t="shared" si="5"/>
        <v>199595.25</v>
      </c>
      <c r="G51" s="1">
        <f t="shared" si="1"/>
        <v>226341.16666666666</v>
      </c>
      <c r="H51" s="1">
        <f t="shared" si="2"/>
        <v>84235.875</v>
      </c>
    </row>
    <row r="52" spans="1:8" x14ac:dyDescent="0.45">
      <c r="A52">
        <v>46</v>
      </c>
      <c r="B52" s="1">
        <v>106467.70833333334</v>
      </c>
      <c r="C52" s="1">
        <f t="shared" si="0"/>
        <v>0</v>
      </c>
      <c r="D52" s="1">
        <f t="shared" si="3"/>
        <v>106467.70833333334</v>
      </c>
      <c r="E52" s="1">
        <f t="shared" si="4"/>
        <v>84235.875</v>
      </c>
      <c r="F52" s="1">
        <f t="shared" si="5"/>
        <v>204830.625</v>
      </c>
      <c r="G52" s="1">
        <f t="shared" si="1"/>
        <v>289066.5</v>
      </c>
      <c r="H52" s="1">
        <f t="shared" si="2"/>
        <v>182598.79166666666</v>
      </c>
    </row>
    <row r="53" spans="1:8" x14ac:dyDescent="0.45">
      <c r="A53">
        <v>47</v>
      </c>
      <c r="B53" s="1">
        <v>103052.04166666666</v>
      </c>
      <c r="C53" s="1">
        <f t="shared" si="0"/>
        <v>0</v>
      </c>
      <c r="D53" s="1">
        <f t="shared" si="3"/>
        <v>103052.04166666666</v>
      </c>
      <c r="E53" s="1">
        <f t="shared" si="4"/>
        <v>182598.79166666666</v>
      </c>
      <c r="F53" s="1">
        <f t="shared" si="5"/>
        <v>179616.87500000009</v>
      </c>
      <c r="G53" s="1">
        <f t="shared" si="1"/>
        <v>362215.66666666674</v>
      </c>
      <c r="H53" s="1">
        <f t="shared" si="2"/>
        <v>259163.62500000009</v>
      </c>
    </row>
    <row r="54" spans="1:8" x14ac:dyDescent="0.45">
      <c r="A54">
        <v>48</v>
      </c>
      <c r="B54" s="1">
        <v>112209.12499999997</v>
      </c>
      <c r="C54" s="1">
        <f t="shared" si="0"/>
        <v>0</v>
      </c>
      <c r="D54" s="1">
        <f t="shared" si="3"/>
        <v>112209.12499999997</v>
      </c>
      <c r="E54" s="1">
        <f t="shared" si="4"/>
        <v>259163.62500000009</v>
      </c>
      <c r="F54" s="1">
        <f t="shared" si="5"/>
        <v>136472.41666666669</v>
      </c>
      <c r="G54" s="1">
        <f t="shared" si="1"/>
        <v>395636.04166666674</v>
      </c>
      <c r="H54" s="1">
        <f t="shared" si="2"/>
        <v>283426.91666666674</v>
      </c>
    </row>
    <row r="55" spans="1:8" x14ac:dyDescent="0.45">
      <c r="A55">
        <v>49</v>
      </c>
      <c r="B55" s="1">
        <v>82683.25</v>
      </c>
      <c r="C55" s="1">
        <f t="shared" si="0"/>
        <v>0</v>
      </c>
      <c r="D55" s="1">
        <f t="shared" si="3"/>
        <v>82683.25</v>
      </c>
      <c r="E55" s="1">
        <f t="shared" si="4"/>
        <v>283426.91666666674</v>
      </c>
      <c r="F55" s="1">
        <f t="shared" si="5"/>
        <v>136000.25</v>
      </c>
      <c r="G55" s="1">
        <f t="shared" si="1"/>
        <v>419427.16666666674</v>
      </c>
      <c r="H55" s="1">
        <f t="shared" si="2"/>
        <v>336743.91666666674</v>
      </c>
    </row>
    <row r="56" spans="1:8" x14ac:dyDescent="0.45">
      <c r="A56">
        <v>50</v>
      </c>
      <c r="B56" s="1">
        <v>82225.083333333343</v>
      </c>
      <c r="C56" s="1">
        <f t="shared" si="0"/>
        <v>0</v>
      </c>
      <c r="D56" s="1">
        <f t="shared" si="3"/>
        <v>82225.083333333343</v>
      </c>
      <c r="E56" s="1">
        <f t="shared" si="4"/>
        <v>336743.91666666674</v>
      </c>
      <c r="F56" s="1">
        <f t="shared" si="5"/>
        <v>116738.66666666669</v>
      </c>
      <c r="G56" s="1">
        <f t="shared" si="1"/>
        <v>453482.58333333343</v>
      </c>
      <c r="H56" s="1">
        <f t="shared" si="2"/>
        <v>371257.50000000012</v>
      </c>
    </row>
    <row r="57" spans="1:8" x14ac:dyDescent="0.45">
      <c r="A57">
        <v>51</v>
      </c>
      <c r="B57" s="1">
        <v>73529.666666666657</v>
      </c>
      <c r="C57" s="1">
        <f t="shared" si="0"/>
        <v>0</v>
      </c>
      <c r="D57" s="1">
        <f t="shared" si="3"/>
        <v>73529.666666666657</v>
      </c>
      <c r="E57" s="1">
        <f t="shared" si="4"/>
        <v>371257.50000000012</v>
      </c>
      <c r="F57" s="1">
        <f t="shared" si="5"/>
        <v>142105.29166666666</v>
      </c>
      <c r="G57" s="1">
        <f t="shared" si="1"/>
        <v>513362.79166666674</v>
      </c>
      <c r="H57" s="1">
        <f t="shared" si="2"/>
        <v>439833.12500000012</v>
      </c>
    </row>
    <row r="58" spans="1:8" x14ac:dyDescent="0.45">
      <c r="A58">
        <v>52</v>
      </c>
      <c r="B58" s="1">
        <v>41864.208333333336</v>
      </c>
      <c r="C58" s="1">
        <f t="shared" si="0"/>
        <v>0</v>
      </c>
      <c r="D58" s="1">
        <f t="shared" si="3"/>
        <v>41864.208333333336</v>
      </c>
      <c r="E58" s="1">
        <f t="shared" si="4"/>
        <v>439833.12500000012</v>
      </c>
      <c r="F58" s="1">
        <f t="shared" si="5"/>
        <v>106467.70833333334</v>
      </c>
      <c r="G58" s="1">
        <f t="shared" si="1"/>
        <v>546300.83333333349</v>
      </c>
      <c r="H58" s="1">
        <f t="shared" si="2"/>
        <v>504436.62500000017</v>
      </c>
    </row>
  </sheetData>
  <customSheetViews>
    <customSheetView guid="{E5875E06-3B87-4763-A267-4E407281F662}" state="hidden">
      <pane ySplit="6" topLeftCell="A7" activePane="bottomLeft" state="frozen"/>
      <selection pane="bottomLeft" activeCell="F9" sqref="F9"/>
      <pageMargins left="0" right="0" top="0" bottom="0" header="0" footer="0"/>
    </customSheetView>
    <customSheetView guid="{951C2A81-C448-4132-8DA0-FF6693023557}" state="hidden">
      <pane ySplit="6" topLeftCell="A7" activePane="bottomLeft" state="frozen"/>
      <selection pane="bottomLeft" activeCell="F9" sqref="F9"/>
      <pageMargins left="0" right="0" top="0" bottom="0" header="0" footer="0"/>
    </customSheetView>
  </customSheetViews>
  <mergeCells count="1">
    <mergeCell ref="A1:B1"/>
  </mergeCells>
  <pageMargins left="0.7" right="0.7" top="0.78740157499999996" bottom="0.78740157499999996" header="0.3" footer="0.3"/>
  <customProperties>
    <customPr name="layoutContexts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1C210-CE77-4DC7-9272-D7674D5D007B}">
  <dimension ref="A1:K58"/>
  <sheetViews>
    <sheetView workbookViewId="0">
      <pane ySplit="6" topLeftCell="A31" activePane="bottomLeft" state="frozen"/>
      <selection pane="bottomLeft" activeCell="F9" sqref="F9"/>
    </sheetView>
  </sheetViews>
  <sheetFormatPr defaultColWidth="11.265625" defaultRowHeight="14.25" x14ac:dyDescent="0.45"/>
  <cols>
    <col min="1" max="1" width="14.73046875" customWidth="1"/>
    <col min="3" max="3" width="16.73046875" bestFit="1" customWidth="1"/>
    <col min="4" max="4" width="13" customWidth="1"/>
    <col min="6" max="6" width="10.73046875" bestFit="1" customWidth="1"/>
    <col min="7" max="7" width="12.73046875" bestFit="1" customWidth="1"/>
  </cols>
  <sheetData>
    <row r="1" spans="1:10" x14ac:dyDescent="0.45">
      <c r="A1" s="66" t="s">
        <v>15</v>
      </c>
      <c r="B1" s="66"/>
      <c r="C1" s="1">
        <f>SUM(B7:B58)</f>
        <v>12936791.666666664</v>
      </c>
      <c r="D1" s="1"/>
      <c r="H1">
        <v>7</v>
      </c>
    </row>
    <row r="2" spans="1:10" x14ac:dyDescent="0.45">
      <c r="A2" t="s">
        <v>16</v>
      </c>
      <c r="B2" s="6"/>
      <c r="C2" s="7">
        <f>C1-C3</f>
        <v>6496998.4999999972</v>
      </c>
      <c r="D2" s="1"/>
      <c r="E2" s="9">
        <f>C2/C1</f>
        <v>0.50221095518917291</v>
      </c>
      <c r="F2" t="s">
        <v>17</v>
      </c>
    </row>
    <row r="3" spans="1:10" x14ac:dyDescent="0.45">
      <c r="A3" t="s">
        <v>18</v>
      </c>
      <c r="C3" s="1">
        <f>SUM(C7:C58)</f>
        <v>6439793.166666667</v>
      </c>
      <c r="D3" s="1"/>
      <c r="E3" s="6">
        <f>C3/C1</f>
        <v>0.49778904481082714</v>
      </c>
      <c r="F3" t="s">
        <v>17</v>
      </c>
      <c r="G3" s="4"/>
    </row>
    <row r="4" spans="1:10" x14ac:dyDescent="0.45">
      <c r="A4" t="s">
        <v>19</v>
      </c>
      <c r="C4" s="5">
        <v>1000000</v>
      </c>
      <c r="D4" s="1"/>
      <c r="E4" s="10">
        <f>C2/C4</f>
        <v>6.4969984999999975</v>
      </c>
      <c r="F4" t="s">
        <v>20</v>
      </c>
      <c r="G4" s="4"/>
    </row>
    <row r="6" spans="1:10" x14ac:dyDescent="0.45">
      <c r="A6" t="s">
        <v>21</v>
      </c>
      <c r="B6" s="2" t="s">
        <v>22</v>
      </c>
      <c r="C6" t="s">
        <v>23</v>
      </c>
      <c r="D6" s="8" t="s">
        <v>24</v>
      </c>
      <c r="E6" t="s">
        <v>25</v>
      </c>
      <c r="F6" t="s">
        <v>26</v>
      </c>
      <c r="G6" s="3" t="s">
        <v>27</v>
      </c>
      <c r="H6" t="s">
        <v>28</v>
      </c>
    </row>
    <row r="7" spans="1:10" x14ac:dyDescent="0.45">
      <c r="A7">
        <v>1</v>
      </c>
      <c r="B7" s="1">
        <v>59355.333333333328</v>
      </c>
      <c r="C7" s="1">
        <f t="shared" ref="C7:C38" si="0">IF((B7-E7-F7)&lt;0,0,(B7-E7-F7))</f>
        <v>0</v>
      </c>
      <c r="D7" s="1">
        <f>B7-C7</f>
        <v>59355.333333333328</v>
      </c>
      <c r="E7" s="1">
        <f>C4</f>
        <v>1000000</v>
      </c>
      <c r="F7">
        <v>0</v>
      </c>
      <c r="G7" s="1">
        <f t="shared" ref="G7:G14" si="1">E7+F7</f>
        <v>1000000</v>
      </c>
      <c r="H7" s="1">
        <f t="shared" ref="H7:H14" si="2">G7-B7+C7</f>
        <v>940644.66666666663</v>
      </c>
    </row>
    <row r="8" spans="1:10" x14ac:dyDescent="0.45">
      <c r="A8">
        <v>2</v>
      </c>
      <c r="B8" s="1">
        <v>80039.875</v>
      </c>
      <c r="C8" s="1">
        <f t="shared" si="0"/>
        <v>0</v>
      </c>
      <c r="D8" s="1">
        <f t="shared" ref="D8:D58" si="3">B8-C8</f>
        <v>80039.875</v>
      </c>
      <c r="E8" s="1">
        <f>H7</f>
        <v>940644.66666666663</v>
      </c>
      <c r="F8">
        <v>0</v>
      </c>
      <c r="G8" s="1">
        <f t="shared" si="1"/>
        <v>940644.66666666663</v>
      </c>
      <c r="H8" s="1">
        <f t="shared" si="2"/>
        <v>860604.79166666663</v>
      </c>
    </row>
    <row r="9" spans="1:10" x14ac:dyDescent="0.45">
      <c r="A9">
        <v>3</v>
      </c>
      <c r="B9" s="1">
        <v>64938.916666666664</v>
      </c>
      <c r="C9" s="1">
        <f t="shared" si="0"/>
        <v>0</v>
      </c>
      <c r="D9" s="1">
        <f t="shared" si="3"/>
        <v>64938.916666666664</v>
      </c>
      <c r="E9" s="1">
        <f t="shared" ref="E9:E14" si="4">H8</f>
        <v>860604.79166666663</v>
      </c>
      <c r="F9">
        <v>0</v>
      </c>
      <c r="G9" s="1">
        <f t="shared" si="1"/>
        <v>860604.79166666663</v>
      </c>
      <c r="H9" s="1">
        <f t="shared" si="2"/>
        <v>795665.875</v>
      </c>
    </row>
    <row r="10" spans="1:10" x14ac:dyDescent="0.45">
      <c r="A10">
        <v>4</v>
      </c>
      <c r="B10" s="1">
        <v>74428.125</v>
      </c>
      <c r="C10" s="1">
        <f t="shared" si="0"/>
        <v>0</v>
      </c>
      <c r="D10" s="1">
        <f t="shared" si="3"/>
        <v>74428.125</v>
      </c>
      <c r="E10" s="1">
        <f t="shared" si="4"/>
        <v>795665.875</v>
      </c>
      <c r="F10">
        <v>0</v>
      </c>
      <c r="G10" s="1">
        <f t="shared" si="1"/>
        <v>795665.875</v>
      </c>
      <c r="H10" s="1">
        <f t="shared" si="2"/>
        <v>721237.75</v>
      </c>
    </row>
    <row r="11" spans="1:10" x14ac:dyDescent="0.45">
      <c r="A11">
        <v>5</v>
      </c>
      <c r="B11" s="1">
        <v>104839.66666666666</v>
      </c>
      <c r="C11" s="1">
        <f t="shared" si="0"/>
        <v>0</v>
      </c>
      <c r="D11" s="1">
        <f t="shared" si="3"/>
        <v>104839.66666666666</v>
      </c>
      <c r="E11" s="1">
        <f t="shared" si="4"/>
        <v>721237.75</v>
      </c>
      <c r="F11">
        <v>0</v>
      </c>
      <c r="G11" s="1">
        <f t="shared" si="1"/>
        <v>721237.75</v>
      </c>
      <c r="H11" s="1">
        <f t="shared" si="2"/>
        <v>616398.08333333337</v>
      </c>
    </row>
    <row r="12" spans="1:10" x14ac:dyDescent="0.45">
      <c r="A12">
        <v>6</v>
      </c>
      <c r="B12" s="1">
        <v>86002.124999999985</v>
      </c>
      <c r="C12" s="1">
        <f t="shared" si="0"/>
        <v>0</v>
      </c>
      <c r="D12" s="1">
        <f t="shared" si="3"/>
        <v>86002.124999999985</v>
      </c>
      <c r="E12" s="1">
        <f t="shared" si="4"/>
        <v>616398.08333333337</v>
      </c>
      <c r="F12">
        <v>0</v>
      </c>
      <c r="G12" s="1">
        <f t="shared" si="1"/>
        <v>616398.08333333337</v>
      </c>
      <c r="H12" s="1">
        <f t="shared" si="2"/>
        <v>530395.95833333337</v>
      </c>
    </row>
    <row r="13" spans="1:10" x14ac:dyDescent="0.45">
      <c r="A13">
        <v>7</v>
      </c>
      <c r="B13" s="1">
        <v>88566.916666666672</v>
      </c>
      <c r="C13" s="1">
        <f t="shared" si="0"/>
        <v>0</v>
      </c>
      <c r="D13" s="1">
        <f t="shared" si="3"/>
        <v>88566.916666666672</v>
      </c>
      <c r="E13" s="1">
        <f t="shared" si="4"/>
        <v>530395.95833333337</v>
      </c>
      <c r="F13">
        <v>0</v>
      </c>
      <c r="G13" s="1">
        <f t="shared" si="1"/>
        <v>530395.95833333337</v>
      </c>
      <c r="H13" s="1">
        <f t="shared" si="2"/>
        <v>441829.04166666669</v>
      </c>
    </row>
    <row r="14" spans="1:10" x14ac:dyDescent="0.45">
      <c r="A14">
        <v>8</v>
      </c>
      <c r="B14" s="1">
        <v>127594.79166666666</v>
      </c>
      <c r="C14" s="1">
        <f t="shared" si="0"/>
        <v>0</v>
      </c>
      <c r="D14" s="1">
        <f t="shared" si="3"/>
        <v>127594.79166666666</v>
      </c>
      <c r="E14" s="1">
        <f t="shared" si="4"/>
        <v>441829.04166666669</v>
      </c>
      <c r="F14" s="1">
        <f>B7-C7</f>
        <v>59355.333333333328</v>
      </c>
      <c r="G14" s="1">
        <f t="shared" si="1"/>
        <v>501184.375</v>
      </c>
      <c r="H14" s="1">
        <f t="shared" si="2"/>
        <v>373589.58333333337</v>
      </c>
    </row>
    <row r="15" spans="1:10" x14ac:dyDescent="0.45">
      <c r="A15">
        <v>9</v>
      </c>
      <c r="B15" s="1">
        <v>73201.416666666672</v>
      </c>
      <c r="C15" s="1">
        <f t="shared" si="0"/>
        <v>0</v>
      </c>
      <c r="D15" s="1">
        <f t="shared" si="3"/>
        <v>73201.416666666672</v>
      </c>
      <c r="E15" s="1">
        <f t="shared" ref="E15:E58" si="5">H14</f>
        <v>373589.58333333337</v>
      </c>
      <c r="F15" s="1">
        <f t="shared" ref="F15:F20" si="6">B8-C8</f>
        <v>80039.875</v>
      </c>
      <c r="G15" s="1">
        <f t="shared" ref="G15:G58" si="7">E15+F15</f>
        <v>453629.45833333337</v>
      </c>
      <c r="H15" s="1">
        <f t="shared" ref="H15:H58" si="8">G15-B15+C15</f>
        <v>380428.04166666669</v>
      </c>
    </row>
    <row r="16" spans="1:10" x14ac:dyDescent="0.45">
      <c r="A16">
        <v>10</v>
      </c>
      <c r="B16" s="1">
        <v>383175.74999999994</v>
      </c>
      <c r="C16" s="1">
        <f t="shared" si="0"/>
        <v>0</v>
      </c>
      <c r="D16" s="1">
        <f t="shared" si="3"/>
        <v>383175.74999999994</v>
      </c>
      <c r="E16" s="1">
        <f t="shared" si="5"/>
        <v>380428.04166666669</v>
      </c>
      <c r="F16" s="1">
        <f>B9-C9</f>
        <v>64938.916666666664</v>
      </c>
      <c r="G16" s="1">
        <f t="shared" si="7"/>
        <v>445366.95833333337</v>
      </c>
      <c r="H16" s="1">
        <f t="shared" si="8"/>
        <v>62191.20833333343</v>
      </c>
      <c r="J16" s="1"/>
    </row>
    <row r="17" spans="1:11" x14ac:dyDescent="0.45">
      <c r="A17">
        <v>11</v>
      </c>
      <c r="B17" s="1">
        <v>447325.08333333337</v>
      </c>
      <c r="C17" s="1">
        <f t="shared" si="0"/>
        <v>310705.74999999994</v>
      </c>
      <c r="D17" s="1">
        <f t="shared" si="3"/>
        <v>136619.33333333343</v>
      </c>
      <c r="E17" s="1">
        <f t="shared" si="5"/>
        <v>62191.20833333343</v>
      </c>
      <c r="F17" s="1">
        <f t="shared" si="6"/>
        <v>74428.125</v>
      </c>
      <c r="G17" s="1">
        <f t="shared" si="7"/>
        <v>136619.33333333343</v>
      </c>
      <c r="H17" s="1">
        <f t="shared" si="8"/>
        <v>0</v>
      </c>
      <c r="K17" s="1"/>
    </row>
    <row r="18" spans="1:11" x14ac:dyDescent="0.45">
      <c r="A18">
        <v>12</v>
      </c>
      <c r="B18" s="1">
        <v>384473.20833333331</v>
      </c>
      <c r="C18" s="1">
        <f t="shared" si="0"/>
        <v>279633.54166666663</v>
      </c>
      <c r="D18" s="1">
        <f t="shared" si="3"/>
        <v>104839.66666666669</v>
      </c>
      <c r="E18" s="1">
        <f t="shared" si="5"/>
        <v>0</v>
      </c>
      <c r="F18" s="1">
        <f t="shared" si="6"/>
        <v>104839.66666666666</v>
      </c>
      <c r="G18" s="1">
        <f t="shared" si="7"/>
        <v>104839.66666666666</v>
      </c>
      <c r="H18" s="1">
        <f t="shared" si="8"/>
        <v>0</v>
      </c>
    </row>
    <row r="19" spans="1:11" x14ac:dyDescent="0.45">
      <c r="A19">
        <v>13</v>
      </c>
      <c r="B19" s="1">
        <v>561563.70833333337</v>
      </c>
      <c r="C19" s="1">
        <f t="shared" si="0"/>
        <v>475561.58333333337</v>
      </c>
      <c r="D19" s="1">
        <f t="shared" si="3"/>
        <v>86002.125</v>
      </c>
      <c r="E19" s="1">
        <f t="shared" si="5"/>
        <v>0</v>
      </c>
      <c r="F19" s="1">
        <f t="shared" si="6"/>
        <v>86002.124999999985</v>
      </c>
      <c r="G19" s="1">
        <f t="shared" si="7"/>
        <v>86002.124999999985</v>
      </c>
      <c r="H19" s="1">
        <f t="shared" si="8"/>
        <v>0</v>
      </c>
    </row>
    <row r="20" spans="1:11" x14ac:dyDescent="0.45">
      <c r="A20">
        <v>14</v>
      </c>
      <c r="B20" s="1">
        <v>493802.75000000006</v>
      </c>
      <c r="C20" s="1">
        <f t="shared" si="0"/>
        <v>405235.83333333337</v>
      </c>
      <c r="D20" s="1">
        <f t="shared" si="3"/>
        <v>88566.916666666686</v>
      </c>
      <c r="E20" s="1">
        <f t="shared" si="5"/>
        <v>0</v>
      </c>
      <c r="F20" s="1">
        <f t="shared" si="6"/>
        <v>88566.916666666672</v>
      </c>
      <c r="G20" s="1">
        <f t="shared" si="7"/>
        <v>88566.916666666672</v>
      </c>
      <c r="H20" s="1">
        <f t="shared" si="8"/>
        <v>0</v>
      </c>
    </row>
    <row r="21" spans="1:11" x14ac:dyDescent="0.45">
      <c r="A21">
        <v>15</v>
      </c>
      <c r="B21" s="1">
        <v>565495.125</v>
      </c>
      <c r="C21" s="1">
        <f t="shared" si="0"/>
        <v>437900.33333333337</v>
      </c>
      <c r="D21" s="1">
        <f t="shared" si="3"/>
        <v>127594.79166666663</v>
      </c>
      <c r="E21" s="1">
        <f t="shared" si="5"/>
        <v>0</v>
      </c>
      <c r="F21" s="1">
        <f t="shared" ref="F21" si="9">B14-C14</f>
        <v>127594.79166666666</v>
      </c>
      <c r="G21" s="1">
        <f t="shared" si="7"/>
        <v>127594.79166666666</v>
      </c>
      <c r="H21" s="1">
        <f t="shared" si="8"/>
        <v>0</v>
      </c>
    </row>
    <row r="22" spans="1:11" x14ac:dyDescent="0.45">
      <c r="A22">
        <v>16</v>
      </c>
      <c r="B22" s="1">
        <v>543575.58333333337</v>
      </c>
      <c r="C22" s="1">
        <f t="shared" si="0"/>
        <v>470374.16666666669</v>
      </c>
      <c r="D22" s="1">
        <f t="shared" si="3"/>
        <v>73201.416666666686</v>
      </c>
      <c r="E22" s="1">
        <f t="shared" si="5"/>
        <v>0</v>
      </c>
      <c r="F22" s="1">
        <f>B15-C15</f>
        <v>73201.416666666672</v>
      </c>
      <c r="G22" s="1">
        <f t="shared" si="7"/>
        <v>73201.416666666672</v>
      </c>
      <c r="H22" s="1">
        <f t="shared" si="8"/>
        <v>0</v>
      </c>
    </row>
    <row r="23" spans="1:11" x14ac:dyDescent="0.45">
      <c r="A23">
        <v>17</v>
      </c>
      <c r="B23" s="1">
        <v>548139.54166666663</v>
      </c>
      <c r="C23" s="1">
        <f t="shared" si="0"/>
        <v>164963.79166666669</v>
      </c>
      <c r="D23" s="1">
        <f t="shared" si="3"/>
        <v>383175.74999999994</v>
      </c>
      <c r="E23" s="1">
        <f t="shared" si="5"/>
        <v>0</v>
      </c>
      <c r="F23" s="1">
        <f>B16-C16</f>
        <v>383175.74999999994</v>
      </c>
      <c r="G23" s="1">
        <f t="shared" si="7"/>
        <v>383175.74999999994</v>
      </c>
      <c r="H23" s="1">
        <f t="shared" si="8"/>
        <v>0</v>
      </c>
    </row>
    <row r="24" spans="1:11" x14ac:dyDescent="0.45">
      <c r="A24">
        <v>18</v>
      </c>
      <c r="B24" s="1">
        <v>625825.83333333337</v>
      </c>
      <c r="C24" s="1">
        <f t="shared" si="0"/>
        <v>489206.49999999994</v>
      </c>
      <c r="D24" s="1">
        <f t="shared" si="3"/>
        <v>136619.33333333343</v>
      </c>
      <c r="E24" s="1">
        <f t="shared" si="5"/>
        <v>0</v>
      </c>
      <c r="F24" s="1">
        <f t="shared" ref="F24:F58" si="10">B17-C17</f>
        <v>136619.33333333343</v>
      </c>
      <c r="G24" s="1">
        <f t="shared" si="7"/>
        <v>136619.33333333343</v>
      </c>
      <c r="H24" s="1">
        <f t="shared" si="8"/>
        <v>0</v>
      </c>
    </row>
    <row r="25" spans="1:11" x14ac:dyDescent="0.45">
      <c r="A25">
        <v>19</v>
      </c>
      <c r="B25" s="1">
        <v>605126.41666666663</v>
      </c>
      <c r="C25" s="1">
        <f t="shared" si="0"/>
        <v>500286.74999999994</v>
      </c>
      <c r="D25" s="1">
        <f t="shared" si="3"/>
        <v>104839.66666666669</v>
      </c>
      <c r="E25" s="1">
        <f t="shared" si="5"/>
        <v>0</v>
      </c>
      <c r="F25" s="1">
        <f t="shared" si="10"/>
        <v>104839.66666666669</v>
      </c>
      <c r="G25" s="1">
        <f t="shared" si="7"/>
        <v>104839.66666666669</v>
      </c>
      <c r="H25" s="1">
        <f t="shared" si="8"/>
        <v>0</v>
      </c>
    </row>
    <row r="26" spans="1:11" x14ac:dyDescent="0.45">
      <c r="A26">
        <v>20</v>
      </c>
      <c r="B26" s="1">
        <v>603086.08333333337</v>
      </c>
      <c r="C26" s="1">
        <f t="shared" si="0"/>
        <v>517083.95833333337</v>
      </c>
      <c r="D26" s="1">
        <f t="shared" si="3"/>
        <v>86002.125</v>
      </c>
      <c r="E26" s="1">
        <f t="shared" si="5"/>
        <v>0</v>
      </c>
      <c r="F26" s="1">
        <f t="shared" si="10"/>
        <v>86002.125</v>
      </c>
      <c r="G26" s="1">
        <f t="shared" si="7"/>
        <v>86002.125</v>
      </c>
      <c r="H26" s="1">
        <f t="shared" si="8"/>
        <v>0</v>
      </c>
    </row>
    <row r="27" spans="1:11" x14ac:dyDescent="0.45">
      <c r="A27">
        <v>21</v>
      </c>
      <c r="B27" s="1">
        <v>413900.91666666663</v>
      </c>
      <c r="C27" s="1">
        <f t="shared" si="0"/>
        <v>325333.99999999994</v>
      </c>
      <c r="D27" s="1">
        <f t="shared" si="3"/>
        <v>88566.916666666686</v>
      </c>
      <c r="E27" s="1">
        <f t="shared" si="5"/>
        <v>0</v>
      </c>
      <c r="F27" s="1">
        <f t="shared" si="10"/>
        <v>88566.916666666686</v>
      </c>
      <c r="G27" s="1">
        <f t="shared" si="7"/>
        <v>88566.916666666686</v>
      </c>
      <c r="H27" s="1">
        <f t="shared" si="8"/>
        <v>0</v>
      </c>
    </row>
    <row r="28" spans="1:11" x14ac:dyDescent="0.45">
      <c r="A28">
        <v>22</v>
      </c>
      <c r="B28" s="1">
        <v>374202.66666666663</v>
      </c>
      <c r="C28" s="1">
        <f t="shared" si="0"/>
        <v>246607.875</v>
      </c>
      <c r="D28" s="1">
        <f t="shared" si="3"/>
        <v>127594.79166666663</v>
      </c>
      <c r="E28" s="1">
        <f t="shared" si="5"/>
        <v>0</v>
      </c>
      <c r="F28" s="1">
        <f t="shared" si="10"/>
        <v>127594.79166666663</v>
      </c>
      <c r="G28" s="1">
        <f t="shared" si="7"/>
        <v>127594.79166666663</v>
      </c>
      <c r="H28" s="1">
        <f t="shared" si="8"/>
        <v>0</v>
      </c>
    </row>
    <row r="29" spans="1:11" x14ac:dyDescent="0.45">
      <c r="A29">
        <v>23</v>
      </c>
      <c r="B29" s="1">
        <v>382301.33333333337</v>
      </c>
      <c r="C29" s="1">
        <f t="shared" si="0"/>
        <v>309099.91666666669</v>
      </c>
      <c r="D29" s="1">
        <f t="shared" si="3"/>
        <v>73201.416666666686</v>
      </c>
      <c r="E29" s="1">
        <f t="shared" si="5"/>
        <v>0</v>
      </c>
      <c r="F29" s="1">
        <f t="shared" si="10"/>
        <v>73201.416666666686</v>
      </c>
      <c r="G29" s="1">
        <f t="shared" si="7"/>
        <v>73201.416666666686</v>
      </c>
      <c r="H29" s="1">
        <f t="shared" si="8"/>
        <v>0</v>
      </c>
    </row>
    <row r="30" spans="1:11" x14ac:dyDescent="0.45">
      <c r="A30">
        <v>24</v>
      </c>
      <c r="B30" s="1">
        <v>298243.08333333331</v>
      </c>
      <c r="C30" s="1">
        <f t="shared" si="0"/>
        <v>0</v>
      </c>
      <c r="D30" s="1">
        <f t="shared" si="3"/>
        <v>298243.08333333331</v>
      </c>
      <c r="E30" s="1">
        <f t="shared" si="5"/>
        <v>0</v>
      </c>
      <c r="F30" s="1">
        <f t="shared" si="10"/>
        <v>383175.74999999994</v>
      </c>
      <c r="G30" s="1">
        <f t="shared" si="7"/>
        <v>383175.74999999994</v>
      </c>
      <c r="H30" s="1">
        <f t="shared" si="8"/>
        <v>84932.666666666628</v>
      </c>
    </row>
    <row r="31" spans="1:11" x14ac:dyDescent="0.45">
      <c r="A31">
        <v>25</v>
      </c>
      <c r="B31" s="1">
        <v>255567.83333333337</v>
      </c>
      <c r="C31" s="1">
        <f t="shared" si="0"/>
        <v>34015.833333333314</v>
      </c>
      <c r="D31" s="1">
        <f t="shared" si="3"/>
        <v>221552.00000000006</v>
      </c>
      <c r="E31" s="1">
        <f t="shared" si="5"/>
        <v>84932.666666666628</v>
      </c>
      <c r="F31" s="1">
        <f t="shared" si="10"/>
        <v>136619.33333333343</v>
      </c>
      <c r="G31" s="1">
        <f t="shared" si="7"/>
        <v>221552.00000000006</v>
      </c>
      <c r="H31" s="1">
        <f t="shared" si="8"/>
        <v>0</v>
      </c>
    </row>
    <row r="32" spans="1:11" x14ac:dyDescent="0.45">
      <c r="A32">
        <v>26</v>
      </c>
      <c r="B32" s="1">
        <v>216318.20833333331</v>
      </c>
      <c r="C32" s="1">
        <f t="shared" si="0"/>
        <v>111478.54166666663</v>
      </c>
      <c r="D32" s="1">
        <f t="shared" si="3"/>
        <v>104839.66666666669</v>
      </c>
      <c r="E32" s="1">
        <f t="shared" si="5"/>
        <v>0</v>
      </c>
      <c r="F32" s="1">
        <f t="shared" si="10"/>
        <v>104839.66666666669</v>
      </c>
      <c r="G32" s="1">
        <f t="shared" si="7"/>
        <v>104839.66666666669</v>
      </c>
      <c r="H32" s="1">
        <f t="shared" si="8"/>
        <v>0</v>
      </c>
    </row>
    <row r="33" spans="1:8" x14ac:dyDescent="0.45">
      <c r="A33">
        <v>27</v>
      </c>
      <c r="B33" s="1">
        <v>197327.91666666669</v>
      </c>
      <c r="C33" s="1">
        <f t="shared" si="0"/>
        <v>111325.79166666669</v>
      </c>
      <c r="D33" s="1">
        <f t="shared" si="3"/>
        <v>86002.125</v>
      </c>
      <c r="E33" s="1">
        <f t="shared" si="5"/>
        <v>0</v>
      </c>
      <c r="F33" s="1">
        <f t="shared" si="10"/>
        <v>86002.125</v>
      </c>
      <c r="G33" s="1">
        <f t="shared" si="7"/>
        <v>86002.125</v>
      </c>
      <c r="H33" s="1">
        <f t="shared" si="8"/>
        <v>0</v>
      </c>
    </row>
    <row r="34" spans="1:8" x14ac:dyDescent="0.45">
      <c r="A34">
        <v>28</v>
      </c>
      <c r="B34" s="1">
        <v>185426.91666666663</v>
      </c>
      <c r="C34" s="1">
        <f t="shared" si="0"/>
        <v>96859.999999999942</v>
      </c>
      <c r="D34" s="1">
        <f t="shared" si="3"/>
        <v>88566.916666666686</v>
      </c>
      <c r="E34" s="1">
        <f t="shared" si="5"/>
        <v>0</v>
      </c>
      <c r="F34" s="1">
        <f t="shared" si="10"/>
        <v>88566.916666666686</v>
      </c>
      <c r="G34" s="1">
        <f t="shared" si="7"/>
        <v>88566.916666666686</v>
      </c>
      <c r="H34" s="1">
        <f t="shared" si="8"/>
        <v>0</v>
      </c>
    </row>
    <row r="35" spans="1:8" x14ac:dyDescent="0.45">
      <c r="A35">
        <v>29</v>
      </c>
      <c r="B35" s="1">
        <v>173472.54166666663</v>
      </c>
      <c r="C35" s="1">
        <f t="shared" si="0"/>
        <v>45877.75</v>
      </c>
      <c r="D35" s="1">
        <f t="shared" si="3"/>
        <v>127594.79166666663</v>
      </c>
      <c r="E35" s="1">
        <f t="shared" si="5"/>
        <v>0</v>
      </c>
      <c r="F35" s="1">
        <f t="shared" si="10"/>
        <v>127594.79166666663</v>
      </c>
      <c r="G35" s="1">
        <f t="shared" si="7"/>
        <v>127594.79166666663</v>
      </c>
      <c r="H35" s="1">
        <f t="shared" si="8"/>
        <v>0</v>
      </c>
    </row>
    <row r="36" spans="1:8" x14ac:dyDescent="0.45">
      <c r="A36">
        <v>30</v>
      </c>
      <c r="B36" s="1">
        <v>136472.41666666669</v>
      </c>
      <c r="C36" s="1">
        <f t="shared" si="0"/>
        <v>63271</v>
      </c>
      <c r="D36" s="1">
        <f t="shared" si="3"/>
        <v>73201.416666666686</v>
      </c>
      <c r="E36" s="1">
        <f t="shared" si="5"/>
        <v>0</v>
      </c>
      <c r="F36" s="1">
        <f t="shared" si="10"/>
        <v>73201.416666666686</v>
      </c>
      <c r="G36" s="1">
        <f t="shared" si="7"/>
        <v>73201.416666666686</v>
      </c>
      <c r="H36" s="1">
        <f t="shared" si="8"/>
        <v>0</v>
      </c>
    </row>
    <row r="37" spans="1:8" x14ac:dyDescent="0.45">
      <c r="A37">
        <v>31</v>
      </c>
      <c r="B37" s="1">
        <v>136000.25</v>
      </c>
      <c r="C37" s="1">
        <f t="shared" si="0"/>
        <v>0</v>
      </c>
      <c r="D37" s="1">
        <f t="shared" si="3"/>
        <v>136000.25</v>
      </c>
      <c r="E37" s="1">
        <f t="shared" si="5"/>
        <v>0</v>
      </c>
      <c r="F37" s="1">
        <f t="shared" si="10"/>
        <v>298243.08333333331</v>
      </c>
      <c r="G37" s="1">
        <f t="shared" si="7"/>
        <v>298243.08333333331</v>
      </c>
      <c r="H37" s="1">
        <f t="shared" si="8"/>
        <v>162242.83333333331</v>
      </c>
    </row>
    <row r="38" spans="1:8" x14ac:dyDescent="0.45">
      <c r="A38">
        <v>32</v>
      </c>
      <c r="B38" s="1">
        <v>143484.58333333334</v>
      </c>
      <c r="C38" s="1">
        <f t="shared" si="0"/>
        <v>0</v>
      </c>
      <c r="D38" s="1">
        <f t="shared" si="3"/>
        <v>143484.58333333334</v>
      </c>
      <c r="E38" s="1">
        <f t="shared" si="5"/>
        <v>162242.83333333331</v>
      </c>
      <c r="F38" s="1">
        <f t="shared" si="10"/>
        <v>221552.00000000006</v>
      </c>
      <c r="G38" s="1">
        <f t="shared" si="7"/>
        <v>383794.83333333337</v>
      </c>
      <c r="H38" s="1">
        <f t="shared" si="8"/>
        <v>240310.25000000003</v>
      </c>
    </row>
    <row r="39" spans="1:8" x14ac:dyDescent="0.45">
      <c r="A39">
        <v>33</v>
      </c>
      <c r="B39" s="1">
        <v>199595.25</v>
      </c>
      <c r="C39" s="1">
        <f t="shared" ref="C39:C58" si="11">IF((B39-E39-F39)&lt;0,0,(B39-E39-F39))</f>
        <v>0</v>
      </c>
      <c r="D39" s="1">
        <f t="shared" si="3"/>
        <v>199595.25</v>
      </c>
      <c r="E39" s="1">
        <f t="shared" si="5"/>
        <v>240310.25000000003</v>
      </c>
      <c r="F39" s="1">
        <f t="shared" si="10"/>
        <v>104839.66666666669</v>
      </c>
      <c r="G39" s="1">
        <f t="shared" si="7"/>
        <v>345149.91666666674</v>
      </c>
      <c r="H39" s="1">
        <f t="shared" si="8"/>
        <v>145554.66666666674</v>
      </c>
    </row>
    <row r="40" spans="1:8" x14ac:dyDescent="0.45">
      <c r="A40">
        <v>34</v>
      </c>
      <c r="B40" s="1">
        <v>204830.625</v>
      </c>
      <c r="C40" s="1">
        <f t="shared" si="11"/>
        <v>0</v>
      </c>
      <c r="D40" s="1">
        <f t="shared" si="3"/>
        <v>204830.625</v>
      </c>
      <c r="E40" s="1">
        <f t="shared" si="5"/>
        <v>145554.66666666674</v>
      </c>
      <c r="F40" s="1">
        <f t="shared" si="10"/>
        <v>86002.125</v>
      </c>
      <c r="G40" s="1">
        <f t="shared" si="7"/>
        <v>231556.79166666674</v>
      </c>
      <c r="H40" s="1">
        <f t="shared" si="8"/>
        <v>26726.166666666744</v>
      </c>
    </row>
    <row r="41" spans="1:8" x14ac:dyDescent="0.45">
      <c r="A41">
        <v>35</v>
      </c>
      <c r="B41" s="1">
        <v>213880.58333333331</v>
      </c>
      <c r="C41" s="1">
        <f t="shared" si="11"/>
        <v>98587.499999999884</v>
      </c>
      <c r="D41" s="1">
        <f t="shared" si="3"/>
        <v>115293.08333333343</v>
      </c>
      <c r="E41" s="1">
        <f t="shared" si="5"/>
        <v>26726.166666666744</v>
      </c>
      <c r="F41" s="1">
        <f t="shared" si="10"/>
        <v>88566.916666666686</v>
      </c>
      <c r="G41" s="1">
        <f t="shared" si="7"/>
        <v>115293.08333333343</v>
      </c>
      <c r="H41" s="1">
        <f t="shared" si="8"/>
        <v>0</v>
      </c>
    </row>
    <row r="42" spans="1:8" x14ac:dyDescent="0.45">
      <c r="A42">
        <v>36</v>
      </c>
      <c r="B42" s="1">
        <v>218332.08333333331</v>
      </c>
      <c r="C42" s="1">
        <f t="shared" si="11"/>
        <v>90737.291666666686</v>
      </c>
      <c r="D42" s="1">
        <f t="shared" si="3"/>
        <v>127594.79166666663</v>
      </c>
      <c r="E42" s="1">
        <f t="shared" si="5"/>
        <v>0</v>
      </c>
      <c r="F42" s="1">
        <f t="shared" si="10"/>
        <v>127594.79166666663</v>
      </c>
      <c r="G42" s="1">
        <f t="shared" si="7"/>
        <v>127594.79166666663</v>
      </c>
      <c r="H42" s="1">
        <f t="shared" si="8"/>
        <v>0</v>
      </c>
    </row>
    <row r="43" spans="1:8" x14ac:dyDescent="0.45">
      <c r="A43">
        <v>37</v>
      </c>
      <c r="B43" s="1">
        <v>221511.08333333331</v>
      </c>
      <c r="C43" s="1">
        <f t="shared" si="11"/>
        <v>148309.66666666663</v>
      </c>
      <c r="D43" s="1">
        <f t="shared" si="3"/>
        <v>73201.416666666686</v>
      </c>
      <c r="E43" s="1">
        <f t="shared" si="5"/>
        <v>0</v>
      </c>
      <c r="F43" s="1">
        <f t="shared" si="10"/>
        <v>73201.416666666686</v>
      </c>
      <c r="G43" s="1">
        <f t="shared" si="7"/>
        <v>73201.416666666686</v>
      </c>
      <c r="H43" s="1">
        <f t="shared" si="8"/>
        <v>0</v>
      </c>
    </row>
    <row r="44" spans="1:8" x14ac:dyDescent="0.45">
      <c r="A44">
        <v>38</v>
      </c>
      <c r="B44" s="1">
        <v>222572.87499999997</v>
      </c>
      <c r="C44" s="1">
        <f t="shared" si="11"/>
        <v>86572.624999999971</v>
      </c>
      <c r="D44" s="1">
        <f t="shared" si="3"/>
        <v>136000.25</v>
      </c>
      <c r="E44" s="1">
        <f t="shared" si="5"/>
        <v>0</v>
      </c>
      <c r="F44" s="1">
        <f t="shared" si="10"/>
        <v>136000.25</v>
      </c>
      <c r="G44" s="1">
        <f t="shared" si="7"/>
        <v>136000.25</v>
      </c>
      <c r="H44" s="1">
        <f t="shared" si="8"/>
        <v>0</v>
      </c>
    </row>
    <row r="45" spans="1:8" x14ac:dyDescent="0.45">
      <c r="A45">
        <v>39</v>
      </c>
      <c r="B45" s="1">
        <v>247477.29166666669</v>
      </c>
      <c r="C45" s="1">
        <f t="shared" si="11"/>
        <v>103992.70833333334</v>
      </c>
      <c r="D45" s="1">
        <f t="shared" si="3"/>
        <v>143484.58333333334</v>
      </c>
      <c r="E45" s="1">
        <f t="shared" si="5"/>
        <v>0</v>
      </c>
      <c r="F45" s="1">
        <f t="shared" si="10"/>
        <v>143484.58333333334</v>
      </c>
      <c r="G45" s="1">
        <f t="shared" si="7"/>
        <v>143484.58333333334</v>
      </c>
      <c r="H45" s="1">
        <f t="shared" si="8"/>
        <v>0</v>
      </c>
    </row>
    <row r="46" spans="1:8" x14ac:dyDescent="0.45">
      <c r="A46">
        <v>40</v>
      </c>
      <c r="B46" s="1">
        <v>264531.625</v>
      </c>
      <c r="C46" s="1">
        <f t="shared" si="11"/>
        <v>64936.375</v>
      </c>
      <c r="D46" s="1">
        <f t="shared" si="3"/>
        <v>199595.25</v>
      </c>
      <c r="E46" s="1">
        <f t="shared" si="5"/>
        <v>0</v>
      </c>
      <c r="F46" s="1">
        <f t="shared" si="10"/>
        <v>199595.25</v>
      </c>
      <c r="G46" s="1">
        <f t="shared" si="7"/>
        <v>199595.25</v>
      </c>
      <c r="H46" s="1">
        <f t="shared" si="8"/>
        <v>0</v>
      </c>
    </row>
    <row r="47" spans="1:8" x14ac:dyDescent="0.45">
      <c r="A47">
        <v>41</v>
      </c>
      <c r="B47" s="1">
        <v>319083.70833333331</v>
      </c>
      <c r="C47" s="1">
        <f t="shared" si="11"/>
        <v>114253.08333333331</v>
      </c>
      <c r="D47" s="1">
        <f t="shared" si="3"/>
        <v>204830.625</v>
      </c>
      <c r="E47" s="1">
        <f t="shared" si="5"/>
        <v>0</v>
      </c>
      <c r="F47" s="1">
        <f t="shared" si="10"/>
        <v>204830.625</v>
      </c>
      <c r="G47" s="1">
        <f t="shared" si="7"/>
        <v>204830.625</v>
      </c>
      <c r="H47" s="1">
        <f t="shared" si="8"/>
        <v>0</v>
      </c>
    </row>
    <row r="48" spans="1:8" x14ac:dyDescent="0.45">
      <c r="A48">
        <v>42</v>
      </c>
      <c r="B48" s="1">
        <v>293496.91666666669</v>
      </c>
      <c r="C48" s="1">
        <f t="shared" si="11"/>
        <v>178203.83333333326</v>
      </c>
      <c r="D48" s="1">
        <f t="shared" si="3"/>
        <v>115293.08333333343</v>
      </c>
      <c r="E48" s="1">
        <f t="shared" si="5"/>
        <v>0</v>
      </c>
      <c r="F48" s="1">
        <f t="shared" si="10"/>
        <v>115293.08333333343</v>
      </c>
      <c r="G48" s="1">
        <f t="shared" si="7"/>
        <v>115293.08333333343</v>
      </c>
      <c r="H48" s="1">
        <f t="shared" si="8"/>
        <v>0</v>
      </c>
    </row>
    <row r="49" spans="1:8" x14ac:dyDescent="0.45">
      <c r="A49">
        <v>43</v>
      </c>
      <c r="B49" s="1">
        <v>237329.66666666669</v>
      </c>
      <c r="C49" s="1">
        <f t="shared" si="11"/>
        <v>109734.87500000006</v>
      </c>
      <c r="D49" s="1">
        <f t="shared" si="3"/>
        <v>127594.79166666663</v>
      </c>
      <c r="E49" s="1">
        <f t="shared" si="5"/>
        <v>0</v>
      </c>
      <c r="F49" s="1">
        <f t="shared" si="10"/>
        <v>127594.79166666663</v>
      </c>
      <c r="G49" s="1">
        <f t="shared" si="7"/>
        <v>127594.79166666663</v>
      </c>
      <c r="H49" s="1">
        <f t="shared" si="8"/>
        <v>0</v>
      </c>
    </row>
    <row r="50" spans="1:8" x14ac:dyDescent="0.45">
      <c r="A50">
        <v>44</v>
      </c>
      <c r="B50" s="1">
        <v>116738.66666666669</v>
      </c>
      <c r="C50" s="1">
        <f t="shared" si="11"/>
        <v>43537.25</v>
      </c>
      <c r="D50" s="1">
        <f t="shared" si="3"/>
        <v>73201.416666666686</v>
      </c>
      <c r="E50" s="1">
        <f t="shared" si="5"/>
        <v>0</v>
      </c>
      <c r="F50" s="1">
        <f t="shared" si="10"/>
        <v>73201.416666666686</v>
      </c>
      <c r="G50" s="1">
        <f t="shared" si="7"/>
        <v>73201.416666666686</v>
      </c>
      <c r="H50" s="1">
        <f t="shared" si="8"/>
        <v>0</v>
      </c>
    </row>
    <row r="51" spans="1:8" x14ac:dyDescent="0.45">
      <c r="A51">
        <v>45</v>
      </c>
      <c r="B51" s="1">
        <v>142105.29166666666</v>
      </c>
      <c r="C51" s="1">
        <f t="shared" si="11"/>
        <v>6105.041666666657</v>
      </c>
      <c r="D51" s="1">
        <f t="shared" si="3"/>
        <v>136000.25</v>
      </c>
      <c r="E51" s="1">
        <f t="shared" si="5"/>
        <v>0</v>
      </c>
      <c r="F51" s="1">
        <f t="shared" si="10"/>
        <v>136000.25</v>
      </c>
      <c r="G51" s="1">
        <f t="shared" si="7"/>
        <v>136000.25</v>
      </c>
      <c r="H51" s="1">
        <f t="shared" si="8"/>
        <v>0</v>
      </c>
    </row>
    <row r="52" spans="1:8" x14ac:dyDescent="0.45">
      <c r="A52">
        <v>46</v>
      </c>
      <c r="B52" s="1">
        <v>106467.70833333334</v>
      </c>
      <c r="C52" s="1">
        <f t="shared" si="11"/>
        <v>0</v>
      </c>
      <c r="D52" s="1">
        <f t="shared" si="3"/>
        <v>106467.70833333334</v>
      </c>
      <c r="E52" s="1">
        <f t="shared" si="5"/>
        <v>0</v>
      </c>
      <c r="F52" s="1">
        <f t="shared" si="10"/>
        <v>143484.58333333334</v>
      </c>
      <c r="G52" s="1">
        <f t="shared" si="7"/>
        <v>143484.58333333334</v>
      </c>
      <c r="H52" s="1">
        <f t="shared" si="8"/>
        <v>37016.875</v>
      </c>
    </row>
    <row r="53" spans="1:8" x14ac:dyDescent="0.45">
      <c r="A53">
        <v>47</v>
      </c>
      <c r="B53" s="1">
        <v>103052.04166666666</v>
      </c>
      <c r="C53" s="1">
        <f t="shared" si="11"/>
        <v>0</v>
      </c>
      <c r="D53" s="1">
        <f t="shared" si="3"/>
        <v>103052.04166666666</v>
      </c>
      <c r="E53" s="1">
        <f t="shared" si="5"/>
        <v>37016.875</v>
      </c>
      <c r="F53" s="1">
        <f t="shared" si="10"/>
        <v>199595.25</v>
      </c>
      <c r="G53" s="1">
        <f t="shared" si="7"/>
        <v>236612.125</v>
      </c>
      <c r="H53" s="1">
        <f t="shared" si="8"/>
        <v>133560.08333333334</v>
      </c>
    </row>
    <row r="54" spans="1:8" x14ac:dyDescent="0.45">
      <c r="A54">
        <v>48</v>
      </c>
      <c r="B54" s="1">
        <v>112209.12499999997</v>
      </c>
      <c r="C54" s="1">
        <f t="shared" si="11"/>
        <v>0</v>
      </c>
      <c r="D54" s="1">
        <f t="shared" si="3"/>
        <v>112209.12499999997</v>
      </c>
      <c r="E54" s="1">
        <f t="shared" si="5"/>
        <v>133560.08333333334</v>
      </c>
      <c r="F54" s="1">
        <f t="shared" si="10"/>
        <v>204830.625</v>
      </c>
      <c r="G54" s="1">
        <f t="shared" si="7"/>
        <v>338390.70833333337</v>
      </c>
      <c r="H54" s="1">
        <f t="shared" si="8"/>
        <v>226181.5833333334</v>
      </c>
    </row>
    <row r="55" spans="1:8" x14ac:dyDescent="0.45">
      <c r="A55">
        <v>49</v>
      </c>
      <c r="B55" s="1">
        <v>82683.25</v>
      </c>
      <c r="C55" s="1">
        <f t="shared" si="11"/>
        <v>0</v>
      </c>
      <c r="D55" s="1">
        <f t="shared" si="3"/>
        <v>82683.25</v>
      </c>
      <c r="E55" s="1">
        <f t="shared" si="5"/>
        <v>226181.5833333334</v>
      </c>
      <c r="F55" s="1">
        <f t="shared" si="10"/>
        <v>115293.08333333343</v>
      </c>
      <c r="G55" s="1">
        <f t="shared" si="7"/>
        <v>341474.66666666686</v>
      </c>
      <c r="H55" s="1">
        <f t="shared" si="8"/>
        <v>258791.41666666686</v>
      </c>
    </row>
    <row r="56" spans="1:8" x14ac:dyDescent="0.45">
      <c r="A56">
        <v>50</v>
      </c>
      <c r="B56" s="1">
        <v>82225.083333333343</v>
      </c>
      <c r="C56" s="1">
        <f t="shared" si="11"/>
        <v>0</v>
      </c>
      <c r="D56" s="1">
        <f t="shared" si="3"/>
        <v>82225.083333333343</v>
      </c>
      <c r="E56" s="1">
        <f t="shared" si="5"/>
        <v>258791.41666666686</v>
      </c>
      <c r="F56" s="1">
        <f t="shared" si="10"/>
        <v>127594.79166666663</v>
      </c>
      <c r="G56" s="1">
        <f t="shared" si="7"/>
        <v>386386.20833333349</v>
      </c>
      <c r="H56" s="1">
        <f t="shared" si="8"/>
        <v>304161.12500000012</v>
      </c>
    </row>
    <row r="57" spans="1:8" x14ac:dyDescent="0.45">
      <c r="A57">
        <v>51</v>
      </c>
      <c r="B57" s="1">
        <v>73529.666666666657</v>
      </c>
      <c r="C57" s="1">
        <f t="shared" si="11"/>
        <v>0</v>
      </c>
      <c r="D57" s="1">
        <f t="shared" si="3"/>
        <v>73529.666666666657</v>
      </c>
      <c r="E57" s="1">
        <f t="shared" si="5"/>
        <v>304161.12500000012</v>
      </c>
      <c r="F57" s="1">
        <f t="shared" si="10"/>
        <v>73201.416666666686</v>
      </c>
      <c r="G57" s="1">
        <f t="shared" si="7"/>
        <v>377362.5416666668</v>
      </c>
      <c r="H57" s="1">
        <f t="shared" si="8"/>
        <v>303832.87500000012</v>
      </c>
    </row>
    <row r="58" spans="1:8" x14ac:dyDescent="0.45">
      <c r="A58">
        <v>52</v>
      </c>
      <c r="B58" s="1">
        <v>41864.208333333336</v>
      </c>
      <c r="C58" s="1">
        <f t="shared" si="11"/>
        <v>0</v>
      </c>
      <c r="D58" s="1">
        <f t="shared" si="3"/>
        <v>41864.208333333336</v>
      </c>
      <c r="E58" s="1">
        <f t="shared" si="5"/>
        <v>303832.87500000012</v>
      </c>
      <c r="F58" s="1">
        <f t="shared" si="10"/>
        <v>136000.25</v>
      </c>
      <c r="G58" s="1">
        <f t="shared" si="7"/>
        <v>439833.12500000012</v>
      </c>
      <c r="H58" s="1">
        <f t="shared" si="8"/>
        <v>397968.9166666668</v>
      </c>
    </row>
  </sheetData>
  <customSheetViews>
    <customSheetView guid="{E5875E06-3B87-4763-A267-4E407281F662}" state="hidden">
      <pane ySplit="6" topLeftCell="A31" activePane="bottomLeft" state="frozen"/>
      <selection pane="bottomLeft" activeCell="F9" sqref="F9"/>
      <pageMargins left="0" right="0" top="0" bottom="0" header="0" footer="0"/>
    </customSheetView>
    <customSheetView guid="{951C2A81-C448-4132-8DA0-FF6693023557}" state="hidden">
      <pane ySplit="6" topLeftCell="A31" activePane="bottomLeft" state="frozen"/>
      <selection pane="bottomLeft" activeCell="F9" sqref="F9"/>
      <pageMargins left="0" right="0" top="0" bottom="0" header="0" footer="0"/>
    </customSheetView>
  </customSheetViews>
  <mergeCells count="1">
    <mergeCell ref="A1:B1"/>
  </mergeCells>
  <pageMargins left="0.7" right="0.7" top="0.78740157499999996" bottom="0.78740157499999996" header="0.3" footer="0.3"/>
  <customProperties>
    <customPr name="layoutContexts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Explanation</vt:lpstr>
      <vt:lpstr>Quantity planning</vt:lpstr>
      <vt:lpstr>Sheet1</vt:lpstr>
      <vt:lpstr>4</vt:lpstr>
      <vt:lpstr>5</vt:lpstr>
      <vt:lpstr>6</vt:lpstr>
      <vt:lpstr>7</vt:lpstr>
      <vt:lpstr>'Quantity planning'!Print_Area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Geffel Alexander</dc:creator>
  <cp:keywords/>
  <dc:description/>
  <cp:lastModifiedBy>Flora Spaeth</cp:lastModifiedBy>
  <cp:revision/>
  <cp:lastPrinted>2025-04-30T12:24:15Z</cp:lastPrinted>
  <dcterms:created xsi:type="dcterms:W3CDTF">2023-06-29T07:24:47Z</dcterms:created>
  <dcterms:modified xsi:type="dcterms:W3CDTF">2025-04-30T14:20:42Z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2023-06-29T12:28:13Z</vt:filetime>
  </property>
</Properties>
</file>